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73537de1dda2547/Documents/GSLC stuff/Financial Reports/"/>
    </mc:Choice>
  </mc:AlternateContent>
  <xr:revisionPtr revIDLastSave="0" documentId="8_{D1D227A8-DE56-4E1C-B9F3-6ACFEE0B778B}" xr6:coauthVersionLast="47" xr6:coauthVersionMax="47" xr10:uidLastSave="{00000000-0000-0000-0000-000000000000}"/>
  <bookViews>
    <workbookView xWindow="0" yWindow="720" windowWidth="23040" windowHeight="12240" xr2:uid="{00000000-000D-0000-FFFF-FFFF00000000}"/>
  </bookViews>
  <sheets>
    <sheet name="Budget vs. Actu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1" i="1" l="1"/>
  <c r="F120" i="1"/>
  <c r="E120" i="1"/>
  <c r="G120" i="1" s="1"/>
  <c r="C120" i="1"/>
  <c r="B120" i="1"/>
  <c r="D120" i="1" s="1"/>
  <c r="E119" i="1"/>
  <c r="C119" i="1"/>
  <c r="C121" i="1" s="1"/>
  <c r="F121" i="1" s="1"/>
  <c r="F118" i="1"/>
  <c r="E118" i="1"/>
  <c r="G118" i="1" s="1"/>
  <c r="D118" i="1"/>
  <c r="F116" i="1"/>
  <c r="E116" i="1"/>
  <c r="G116" i="1" s="1"/>
  <c r="D116" i="1"/>
  <c r="C116" i="1"/>
  <c r="B116" i="1"/>
  <c r="E115" i="1"/>
  <c r="D115" i="1"/>
  <c r="C115" i="1"/>
  <c r="F114" i="1"/>
  <c r="G114" i="1" s="1"/>
  <c r="E114" i="1"/>
  <c r="C114" i="1"/>
  <c r="B114" i="1"/>
  <c r="D114" i="1" s="1"/>
  <c r="F113" i="1"/>
  <c r="E113" i="1"/>
  <c r="G113" i="1" s="1"/>
  <c r="D113" i="1"/>
  <c r="F111" i="1"/>
  <c r="E111" i="1"/>
  <c r="G111" i="1" s="1"/>
  <c r="C111" i="1"/>
  <c r="B111" i="1"/>
  <c r="D111" i="1" s="1"/>
  <c r="G110" i="1"/>
  <c r="F110" i="1"/>
  <c r="E110" i="1"/>
  <c r="C110" i="1"/>
  <c r="D110" i="1" s="1"/>
  <c r="D109" i="1"/>
  <c r="C109" i="1"/>
  <c r="F109" i="1" s="1"/>
  <c r="B109" i="1"/>
  <c r="E109" i="1" s="1"/>
  <c r="G109" i="1" s="1"/>
  <c r="F108" i="1"/>
  <c r="C108" i="1"/>
  <c r="B108" i="1"/>
  <c r="F107" i="1"/>
  <c r="E107" i="1"/>
  <c r="G107" i="1" s="1"/>
  <c r="D107" i="1"/>
  <c r="C107" i="1"/>
  <c r="B107" i="1"/>
  <c r="F106" i="1"/>
  <c r="E106" i="1"/>
  <c r="D106" i="1"/>
  <c r="G104" i="1"/>
  <c r="F104" i="1"/>
  <c r="E104" i="1"/>
  <c r="D104" i="1"/>
  <c r="C104" i="1"/>
  <c r="C103" i="1"/>
  <c r="F103" i="1" s="1"/>
  <c r="B103" i="1"/>
  <c r="E103" i="1" s="1"/>
  <c r="G103" i="1" s="1"/>
  <c r="C102" i="1"/>
  <c r="F102" i="1" s="1"/>
  <c r="B102" i="1"/>
  <c r="F101" i="1"/>
  <c r="E101" i="1"/>
  <c r="G101" i="1" s="1"/>
  <c r="D101" i="1"/>
  <c r="C101" i="1"/>
  <c r="F100" i="1"/>
  <c r="C100" i="1"/>
  <c r="B100" i="1"/>
  <c r="E100" i="1" s="1"/>
  <c r="G100" i="1" s="1"/>
  <c r="F99" i="1"/>
  <c r="E99" i="1"/>
  <c r="G99" i="1" s="1"/>
  <c r="D99" i="1"/>
  <c r="G98" i="1"/>
  <c r="F98" i="1"/>
  <c r="E98" i="1"/>
  <c r="D98" i="1"/>
  <c r="C98" i="1"/>
  <c r="B98" i="1"/>
  <c r="F97" i="1"/>
  <c r="E97" i="1"/>
  <c r="G97" i="1" s="1"/>
  <c r="D97" i="1"/>
  <c r="C97" i="1"/>
  <c r="B97" i="1"/>
  <c r="C96" i="1"/>
  <c r="F96" i="1" s="1"/>
  <c r="B96" i="1"/>
  <c r="E96" i="1" s="1"/>
  <c r="F95" i="1"/>
  <c r="G95" i="1" s="1"/>
  <c r="E95" i="1"/>
  <c r="D95" i="1"/>
  <c r="E93" i="1"/>
  <c r="G93" i="1" s="1"/>
  <c r="D93" i="1"/>
  <c r="C93" i="1"/>
  <c r="F93" i="1" s="1"/>
  <c r="F92" i="1"/>
  <c r="E92" i="1"/>
  <c r="G92" i="1" s="1"/>
  <c r="C92" i="1"/>
  <c r="B92" i="1"/>
  <c r="D92" i="1" s="1"/>
  <c r="E91" i="1"/>
  <c r="B91" i="1"/>
  <c r="E90" i="1"/>
  <c r="C90" i="1"/>
  <c r="F90" i="1" s="1"/>
  <c r="G89" i="1"/>
  <c r="F89" i="1"/>
  <c r="E89" i="1"/>
  <c r="C89" i="1"/>
  <c r="D89" i="1" s="1"/>
  <c r="E88" i="1"/>
  <c r="D88" i="1"/>
  <c r="C88" i="1"/>
  <c r="C91" i="1" s="1"/>
  <c r="F87" i="1"/>
  <c r="E87" i="1"/>
  <c r="G87" i="1" s="1"/>
  <c r="D87" i="1"/>
  <c r="F86" i="1"/>
  <c r="E86" i="1"/>
  <c r="G86" i="1" s="1"/>
  <c r="D86" i="1"/>
  <c r="C86" i="1"/>
  <c r="B86" i="1"/>
  <c r="D85" i="1"/>
  <c r="C85" i="1"/>
  <c r="F85" i="1" s="1"/>
  <c r="B85" i="1"/>
  <c r="E85" i="1" s="1"/>
  <c r="G85" i="1" s="1"/>
  <c r="D84" i="1"/>
  <c r="C84" i="1"/>
  <c r="F84" i="1" s="1"/>
  <c r="B84" i="1"/>
  <c r="E84" i="1" s="1"/>
  <c r="F83" i="1"/>
  <c r="C83" i="1"/>
  <c r="B83" i="1"/>
  <c r="F82" i="1"/>
  <c r="G82" i="1" s="1"/>
  <c r="E82" i="1"/>
  <c r="D82" i="1"/>
  <c r="C82" i="1"/>
  <c r="B82" i="1"/>
  <c r="F81" i="1"/>
  <c r="E81" i="1"/>
  <c r="D81" i="1"/>
  <c r="F79" i="1"/>
  <c r="E79" i="1"/>
  <c r="G79" i="1" s="1"/>
  <c r="D79" i="1"/>
  <c r="C79" i="1"/>
  <c r="E78" i="1"/>
  <c r="G78" i="1" s="1"/>
  <c r="D78" i="1"/>
  <c r="C78" i="1"/>
  <c r="F78" i="1" s="1"/>
  <c r="B78" i="1"/>
  <c r="B80" i="1" s="1"/>
  <c r="E77" i="1"/>
  <c r="C77" i="1"/>
  <c r="F76" i="1"/>
  <c r="G76" i="1" s="1"/>
  <c r="E76" i="1"/>
  <c r="D76" i="1"/>
  <c r="B75" i="1"/>
  <c r="E75" i="1" s="1"/>
  <c r="F74" i="1"/>
  <c r="G74" i="1" s="1"/>
  <c r="E74" i="1"/>
  <c r="C74" i="1"/>
  <c r="D74" i="1" s="1"/>
  <c r="E73" i="1"/>
  <c r="G73" i="1" s="1"/>
  <c r="D73" i="1"/>
  <c r="C73" i="1"/>
  <c r="F73" i="1" s="1"/>
  <c r="E72" i="1"/>
  <c r="G72" i="1" s="1"/>
  <c r="D72" i="1"/>
  <c r="C72" i="1"/>
  <c r="F72" i="1" s="1"/>
  <c r="F71" i="1"/>
  <c r="E71" i="1"/>
  <c r="G71" i="1" s="1"/>
  <c r="C71" i="1"/>
  <c r="B71" i="1"/>
  <c r="D71" i="1" s="1"/>
  <c r="F70" i="1"/>
  <c r="G70" i="1" s="1"/>
  <c r="E70" i="1"/>
  <c r="D70" i="1"/>
  <c r="B69" i="1"/>
  <c r="F68" i="1"/>
  <c r="E68" i="1"/>
  <c r="G68" i="1" s="1"/>
  <c r="D68" i="1"/>
  <c r="C68" i="1"/>
  <c r="E67" i="1"/>
  <c r="D67" i="1"/>
  <c r="C67" i="1"/>
  <c r="F67" i="1" s="1"/>
  <c r="E66" i="1"/>
  <c r="C66" i="1"/>
  <c r="F65" i="1"/>
  <c r="E65" i="1"/>
  <c r="G65" i="1" s="1"/>
  <c r="D65" i="1"/>
  <c r="C65" i="1"/>
  <c r="E64" i="1"/>
  <c r="G64" i="1" s="1"/>
  <c r="D64" i="1"/>
  <c r="C64" i="1"/>
  <c r="F64" i="1" s="1"/>
  <c r="F63" i="1"/>
  <c r="G63" i="1" s="1"/>
  <c r="E63" i="1"/>
  <c r="C63" i="1"/>
  <c r="D63" i="1" s="1"/>
  <c r="F62" i="1"/>
  <c r="E62" i="1"/>
  <c r="G62" i="1" s="1"/>
  <c r="D62" i="1"/>
  <c r="C62" i="1"/>
  <c r="E61" i="1"/>
  <c r="C61" i="1"/>
  <c r="F61" i="1" s="1"/>
  <c r="F60" i="1"/>
  <c r="E60" i="1"/>
  <c r="G60" i="1" s="1"/>
  <c r="D60" i="1"/>
  <c r="C60" i="1"/>
  <c r="E59" i="1"/>
  <c r="D59" i="1"/>
  <c r="C59" i="1"/>
  <c r="F59" i="1" s="1"/>
  <c r="E58" i="1"/>
  <c r="C58" i="1"/>
  <c r="F57" i="1"/>
  <c r="E57" i="1"/>
  <c r="G57" i="1" s="1"/>
  <c r="D57" i="1"/>
  <c r="C57" i="1"/>
  <c r="E56" i="1"/>
  <c r="G56" i="1" s="1"/>
  <c r="D56" i="1"/>
  <c r="C56" i="1"/>
  <c r="F56" i="1" s="1"/>
  <c r="F55" i="1"/>
  <c r="G55" i="1" s="1"/>
  <c r="E55" i="1"/>
  <c r="C55" i="1"/>
  <c r="D55" i="1" s="1"/>
  <c r="F54" i="1"/>
  <c r="E54" i="1"/>
  <c r="G54" i="1" s="1"/>
  <c r="D54" i="1"/>
  <c r="C54" i="1"/>
  <c r="F53" i="1"/>
  <c r="E53" i="1"/>
  <c r="G53" i="1" s="1"/>
  <c r="D53" i="1"/>
  <c r="E52" i="1"/>
  <c r="E51" i="1"/>
  <c r="C51" i="1"/>
  <c r="F51" i="1" s="1"/>
  <c r="E50" i="1"/>
  <c r="C50" i="1"/>
  <c r="G49" i="1"/>
  <c r="F49" i="1"/>
  <c r="E49" i="1"/>
  <c r="D49" i="1"/>
  <c r="C49" i="1"/>
  <c r="E48" i="1"/>
  <c r="C48" i="1"/>
  <c r="F48" i="1" s="1"/>
  <c r="G47" i="1"/>
  <c r="F47" i="1"/>
  <c r="E47" i="1"/>
  <c r="C47" i="1"/>
  <c r="D47" i="1" s="1"/>
  <c r="E46" i="1"/>
  <c r="D46" i="1"/>
  <c r="C46" i="1"/>
  <c r="F46" i="1" s="1"/>
  <c r="G46" i="1" s="1"/>
  <c r="B46" i="1"/>
  <c r="B52" i="1" s="1"/>
  <c r="F45" i="1"/>
  <c r="E45" i="1"/>
  <c r="G45" i="1" s="1"/>
  <c r="D45" i="1"/>
  <c r="E43" i="1"/>
  <c r="C43" i="1"/>
  <c r="F43" i="1" s="1"/>
  <c r="G43" i="1" s="1"/>
  <c r="C42" i="1"/>
  <c r="F42" i="1" s="1"/>
  <c r="B42" i="1"/>
  <c r="E42" i="1" s="1"/>
  <c r="G42" i="1" s="1"/>
  <c r="G41" i="1"/>
  <c r="F41" i="1"/>
  <c r="E41" i="1"/>
  <c r="C41" i="1"/>
  <c r="D41" i="1" s="1"/>
  <c r="E40" i="1"/>
  <c r="D40" i="1"/>
  <c r="C40" i="1"/>
  <c r="F40" i="1" s="1"/>
  <c r="G40" i="1" s="1"/>
  <c r="C39" i="1"/>
  <c r="F39" i="1" s="1"/>
  <c r="B39" i="1"/>
  <c r="E39" i="1" s="1"/>
  <c r="G39" i="1" s="1"/>
  <c r="F38" i="1"/>
  <c r="C38" i="1"/>
  <c r="B38" i="1"/>
  <c r="G37" i="1"/>
  <c r="F37" i="1"/>
  <c r="E37" i="1"/>
  <c r="D37" i="1"/>
  <c r="C37" i="1"/>
  <c r="B37" i="1"/>
  <c r="F36" i="1"/>
  <c r="E36" i="1"/>
  <c r="G36" i="1" s="1"/>
  <c r="D36" i="1"/>
  <c r="C36" i="1"/>
  <c r="B36" i="1"/>
  <c r="F35" i="1"/>
  <c r="E35" i="1"/>
  <c r="G35" i="1" s="1"/>
  <c r="D35" i="1"/>
  <c r="E33" i="1"/>
  <c r="D33" i="1"/>
  <c r="C33" i="1"/>
  <c r="F33" i="1" s="1"/>
  <c r="E32" i="1"/>
  <c r="C32" i="1"/>
  <c r="F31" i="1"/>
  <c r="E31" i="1"/>
  <c r="G31" i="1" s="1"/>
  <c r="D31" i="1"/>
  <c r="C31" i="1"/>
  <c r="B31" i="1"/>
  <c r="F30" i="1"/>
  <c r="C30" i="1"/>
  <c r="B30" i="1"/>
  <c r="E30" i="1" s="1"/>
  <c r="G30" i="1" s="1"/>
  <c r="E29" i="1"/>
  <c r="G29" i="1" s="1"/>
  <c r="D29" i="1"/>
  <c r="C29" i="1"/>
  <c r="F29" i="1" s="1"/>
  <c r="F28" i="1"/>
  <c r="D28" i="1"/>
  <c r="C28" i="1"/>
  <c r="B28" i="1"/>
  <c r="E28" i="1" s="1"/>
  <c r="G28" i="1" s="1"/>
  <c r="F27" i="1"/>
  <c r="C27" i="1"/>
  <c r="B27" i="1"/>
  <c r="B34" i="1" s="1"/>
  <c r="E34" i="1" s="1"/>
  <c r="F26" i="1"/>
  <c r="E26" i="1"/>
  <c r="G26" i="1" s="1"/>
  <c r="D26" i="1"/>
  <c r="F20" i="1"/>
  <c r="E20" i="1"/>
  <c r="G20" i="1" s="1"/>
  <c r="D20" i="1"/>
  <c r="C20" i="1"/>
  <c r="C19" i="1"/>
  <c r="F19" i="1" s="1"/>
  <c r="B19" i="1"/>
  <c r="E19" i="1" s="1"/>
  <c r="G19" i="1" s="1"/>
  <c r="C18" i="1"/>
  <c r="F18" i="1" s="1"/>
  <c r="B18" i="1"/>
  <c r="E18" i="1" s="1"/>
  <c r="G18" i="1" s="1"/>
  <c r="F17" i="1"/>
  <c r="E17" i="1"/>
  <c r="G17" i="1" s="1"/>
  <c r="D17" i="1"/>
  <c r="D16" i="1"/>
  <c r="C16" i="1"/>
  <c r="F16" i="1" s="1"/>
  <c r="B16" i="1"/>
  <c r="E16" i="1" s="1"/>
  <c r="G16" i="1" s="1"/>
  <c r="G15" i="1"/>
  <c r="E15" i="1"/>
  <c r="D15" i="1"/>
  <c r="C15" i="1"/>
  <c r="F15" i="1" s="1"/>
  <c r="F14" i="1"/>
  <c r="D14" i="1"/>
  <c r="C14" i="1"/>
  <c r="B14" i="1"/>
  <c r="E14" i="1" s="1"/>
  <c r="G14" i="1" s="1"/>
  <c r="G13" i="1"/>
  <c r="F13" i="1"/>
  <c r="E13" i="1"/>
  <c r="D13" i="1"/>
  <c r="F11" i="1"/>
  <c r="C11" i="1"/>
  <c r="B11" i="1"/>
  <c r="B12" i="1" s="1"/>
  <c r="F10" i="1"/>
  <c r="C10" i="1"/>
  <c r="C12" i="1" s="1"/>
  <c r="B10" i="1"/>
  <c r="E10" i="1" s="1"/>
  <c r="G10" i="1" s="1"/>
  <c r="F9" i="1"/>
  <c r="E9" i="1"/>
  <c r="G9" i="1" s="1"/>
  <c r="D9" i="1"/>
  <c r="G8" i="1"/>
  <c r="F8" i="1"/>
  <c r="E8" i="1"/>
  <c r="D8" i="1"/>
  <c r="F91" i="1" l="1"/>
  <c r="G91" i="1" s="1"/>
  <c r="D91" i="1"/>
  <c r="E12" i="1"/>
  <c r="B22" i="1"/>
  <c r="D12" i="1"/>
  <c r="E80" i="1"/>
  <c r="F12" i="1"/>
  <c r="D90" i="1"/>
  <c r="B94" i="1"/>
  <c r="B105" i="1"/>
  <c r="E38" i="1"/>
  <c r="G38" i="1" s="1"/>
  <c r="D38" i="1"/>
  <c r="D48" i="1"/>
  <c r="D11" i="1"/>
  <c r="D19" i="1"/>
  <c r="D42" i="1"/>
  <c r="G48" i="1"/>
  <c r="F77" i="1"/>
  <c r="G77" i="1" s="1"/>
  <c r="C80" i="1"/>
  <c r="F80" i="1" s="1"/>
  <c r="D77" i="1"/>
  <c r="G81" i="1"/>
  <c r="E83" i="1"/>
  <c r="G83" i="1" s="1"/>
  <c r="D83" i="1"/>
  <c r="F88" i="1"/>
  <c r="G88" i="1" s="1"/>
  <c r="G90" i="1"/>
  <c r="C94" i="1"/>
  <c r="F94" i="1" s="1"/>
  <c r="G96" i="1"/>
  <c r="D103" i="1"/>
  <c r="C117" i="1"/>
  <c r="F117" i="1" s="1"/>
  <c r="F115" i="1"/>
  <c r="D119" i="1"/>
  <c r="F50" i="1"/>
  <c r="G50" i="1" s="1"/>
  <c r="D50" i="1"/>
  <c r="E11" i="1"/>
  <c r="G11" i="1" s="1"/>
  <c r="E69" i="1"/>
  <c r="G69" i="1" s="1"/>
  <c r="D10" i="1"/>
  <c r="C21" i="1"/>
  <c r="F21" i="1" s="1"/>
  <c r="C34" i="1"/>
  <c r="G33" i="1"/>
  <c r="D43" i="1"/>
  <c r="D51" i="1"/>
  <c r="G59" i="1"/>
  <c r="D61" i="1"/>
  <c r="G67" i="1"/>
  <c r="C69" i="1"/>
  <c r="F69" i="1" s="1"/>
  <c r="C75" i="1"/>
  <c r="F75" i="1" s="1"/>
  <c r="G75" i="1" s="1"/>
  <c r="D96" i="1"/>
  <c r="C105" i="1"/>
  <c r="F105" i="1" s="1"/>
  <c r="G115" i="1"/>
  <c r="F119" i="1"/>
  <c r="G119" i="1" s="1"/>
  <c r="B21" i="1"/>
  <c r="E121" i="1"/>
  <c r="G121" i="1" s="1"/>
  <c r="D121" i="1"/>
  <c r="D18" i="1"/>
  <c r="D27" i="1"/>
  <c r="D30" i="1"/>
  <c r="B44" i="1"/>
  <c r="G51" i="1"/>
  <c r="G61" i="1"/>
  <c r="D100" i="1"/>
  <c r="E102" i="1"/>
  <c r="G102" i="1" s="1"/>
  <c r="D102" i="1"/>
  <c r="G106" i="1"/>
  <c r="E108" i="1"/>
  <c r="G108" i="1" s="1"/>
  <c r="D108" i="1"/>
  <c r="E27" i="1"/>
  <c r="G27" i="1" s="1"/>
  <c r="C44" i="1"/>
  <c r="F44" i="1" s="1"/>
  <c r="D39" i="1"/>
  <c r="G84" i="1"/>
  <c r="B112" i="1"/>
  <c r="B122" i="1"/>
  <c r="F32" i="1"/>
  <c r="G32" i="1" s="1"/>
  <c r="D32" i="1"/>
  <c r="C52" i="1"/>
  <c r="F58" i="1"/>
  <c r="G58" i="1" s="1"/>
  <c r="D58" i="1"/>
  <c r="F66" i="1"/>
  <c r="G66" i="1" s="1"/>
  <c r="D66" i="1"/>
  <c r="C112" i="1"/>
  <c r="F112" i="1" s="1"/>
  <c r="B117" i="1"/>
  <c r="E122" i="1" l="1"/>
  <c r="D44" i="1"/>
  <c r="E44" i="1"/>
  <c r="G44" i="1" s="1"/>
  <c r="G80" i="1"/>
  <c r="E112" i="1"/>
  <c r="G112" i="1" s="1"/>
  <c r="D112" i="1"/>
  <c r="E105" i="1"/>
  <c r="G105" i="1" s="1"/>
  <c r="D105" i="1"/>
  <c r="D94" i="1"/>
  <c r="E94" i="1"/>
  <c r="G94" i="1" s="1"/>
  <c r="C122" i="1"/>
  <c r="F122" i="1" s="1"/>
  <c r="F34" i="1"/>
  <c r="G34" i="1" s="1"/>
  <c r="G12" i="1"/>
  <c r="B23" i="1"/>
  <c r="E22" i="1"/>
  <c r="D22" i="1"/>
  <c r="D52" i="1"/>
  <c r="F52" i="1"/>
  <c r="G52" i="1" s="1"/>
  <c r="D34" i="1"/>
  <c r="D75" i="1"/>
  <c r="C22" i="1"/>
  <c r="E117" i="1"/>
  <c r="G117" i="1" s="1"/>
  <c r="D117" i="1"/>
  <c r="E21" i="1"/>
  <c r="G21" i="1" s="1"/>
  <c r="D21" i="1"/>
  <c r="D69" i="1"/>
  <c r="D80" i="1"/>
  <c r="C23" i="1" l="1"/>
  <c r="F22" i="1"/>
  <c r="G22" i="1" s="1"/>
  <c r="D23" i="1"/>
  <c r="B24" i="1"/>
  <c r="E23" i="1"/>
  <c r="G122" i="1"/>
  <c r="D122" i="1"/>
  <c r="B123" i="1" l="1"/>
  <c r="E24" i="1"/>
  <c r="D24" i="1"/>
  <c r="C24" i="1"/>
  <c r="F23" i="1"/>
  <c r="G23" i="1" s="1"/>
  <c r="F24" i="1" l="1"/>
  <c r="G24" i="1" s="1"/>
  <c r="C123" i="1"/>
  <c r="B124" i="1"/>
  <c r="E123" i="1"/>
  <c r="D123" i="1"/>
  <c r="G123" i="1" l="1"/>
  <c r="E124" i="1"/>
  <c r="C124" i="1"/>
  <c r="F124" i="1" s="1"/>
  <c r="F123" i="1"/>
  <c r="D124" i="1" l="1"/>
  <c r="G124" i="1"/>
</calcChain>
</file>

<file path=xl/sharedStrings.xml><?xml version="1.0" encoding="utf-8"?>
<sst xmlns="http://schemas.openxmlformats.org/spreadsheetml/2006/main" count="130" uniqueCount="127">
  <si>
    <t>Jan 2025</t>
  </si>
  <si>
    <t>Total</t>
  </si>
  <si>
    <t>Actual</t>
  </si>
  <si>
    <t>Budget</t>
  </si>
  <si>
    <t>over Budget</t>
  </si>
  <si>
    <t>Revenue</t>
  </si>
  <si>
    <t xml:space="preserve">   4000 Income</t>
  </si>
  <si>
    <t xml:space="preserve">      4100 Offerings</t>
  </si>
  <si>
    <t xml:space="preserve">         4110 Regular/Pledged</t>
  </si>
  <si>
    <t xml:space="preserve">         4120 Plate</t>
  </si>
  <si>
    <t xml:space="preserve">      Total 4100 Offerings</t>
  </si>
  <si>
    <t xml:space="preserve">      4200 Good Shepherd Day Care</t>
  </si>
  <si>
    <t xml:space="preserve">         4210 Expenses Reimbursement</t>
  </si>
  <si>
    <t xml:space="preserve">         4220 Special Payment</t>
  </si>
  <si>
    <t xml:space="preserve">      Total 4200 Good Shepherd Day Care</t>
  </si>
  <si>
    <t xml:space="preserve">      4300 Other Income</t>
  </si>
  <si>
    <t xml:space="preserve">         4310 Building Use</t>
  </si>
  <si>
    <t xml:space="preserve">         4320 Solar TREC</t>
  </si>
  <si>
    <t xml:space="preserve">         4330 Trfr - Weidner Endowment</t>
  </si>
  <si>
    <t xml:space="preserve">      Total 4300 Other Income</t>
  </si>
  <si>
    <t xml:space="preserve">   Total 4000 Income</t>
  </si>
  <si>
    <t>Total Revenue</t>
  </si>
  <si>
    <t>Gross Profit</t>
  </si>
  <si>
    <t>Expenditures</t>
  </si>
  <si>
    <t xml:space="preserve">   5100 Pastoral Ministry</t>
  </si>
  <si>
    <t xml:space="preserve">      5110 Pastor Compensation</t>
  </si>
  <si>
    <t xml:space="preserve">      5111 Pastor Benefits</t>
  </si>
  <si>
    <t xml:space="preserve">      5112 Pastor Professional Expense</t>
  </si>
  <si>
    <t xml:space="preserve">      5120 Deacon Compensation</t>
  </si>
  <si>
    <t xml:space="preserve">      5121 Deacon Social Security</t>
  </si>
  <si>
    <t xml:space="preserve">      5122 Deacon Professional Expense</t>
  </si>
  <si>
    <t xml:space="preserve">      5170 Guest Preacher</t>
  </si>
  <si>
    <t xml:space="preserve">   Total 5100 Pastoral Ministry</t>
  </si>
  <si>
    <t xml:space="preserve">   5200 Worship</t>
  </si>
  <si>
    <t xml:space="preserve">      5210 Music Director Compensation</t>
  </si>
  <si>
    <t xml:space="preserve">      5211 Music Director Social Security</t>
  </si>
  <si>
    <t xml:space="preserve">      5215 Sunday Morn Assist Compensation</t>
  </si>
  <si>
    <t xml:space="preserve">      5216 Sunday Morn Assist Social Security</t>
  </si>
  <si>
    <t xml:space="preserve">      5220 Other Musician Compensation</t>
  </si>
  <si>
    <t xml:space="preserve">      5221 Other Musician Social Security</t>
  </si>
  <si>
    <t xml:space="preserve">      5230 Music &amp; Supplies</t>
  </si>
  <si>
    <t xml:space="preserve">      5240 Music Equipment Maintenance</t>
  </si>
  <si>
    <t xml:space="preserve">   Total 5200 Worship</t>
  </si>
  <si>
    <t xml:space="preserve">   5300 Benevolence</t>
  </si>
  <si>
    <t xml:space="preserve">      5310 Synod Mission Support</t>
  </si>
  <si>
    <t xml:space="preserve">      5320 Crossroads Camp &amp; Retreat</t>
  </si>
  <si>
    <t xml:space="preserve">      5330 Lutheran Social Ministries</t>
  </si>
  <si>
    <t xml:space="preserve">      5335 ELCA World Hunger</t>
  </si>
  <si>
    <t xml:space="preserve">      5340 Lutheran Disaster Response</t>
  </si>
  <si>
    <t xml:space="preserve">      5345 Global Refuge</t>
  </si>
  <si>
    <t xml:space="preserve">   Total 5300 Benevolence</t>
  </si>
  <si>
    <t xml:space="preserve">   5400 Community Social Ministry</t>
  </si>
  <si>
    <t xml:space="preserve">      5410 General Giving Funding</t>
  </si>
  <si>
    <t xml:space="preserve">      5411 Middle Earth</t>
  </si>
  <si>
    <t xml:space="preserve">      5413 Visions and Pathways</t>
  </si>
  <si>
    <t xml:space="preserve">      5414 Food Bank</t>
  </si>
  <si>
    <t xml:space="preserve">      5415 S.H.I.P</t>
  </si>
  <si>
    <t xml:space="preserve">      5416 Giving Network</t>
  </si>
  <si>
    <t xml:space="preserve">      5417 Safe and Sound Somerset</t>
  </si>
  <si>
    <t xml:space="preserve">      5418 Somerville Rescue Squad</t>
  </si>
  <si>
    <t xml:space="preserve">      5419 Somerville Fire Department</t>
  </si>
  <si>
    <t xml:space="preserve">      5420 FISH</t>
  </si>
  <si>
    <t xml:space="preserve">      5421 HOME of Somerset County</t>
  </si>
  <si>
    <t xml:space="preserve">      5422 Habitat for Humanity</t>
  </si>
  <si>
    <t xml:space="preserve">      5423 Weekend Food Packs</t>
  </si>
  <si>
    <t xml:space="preserve">      5424 GSLC Food Pantry</t>
  </si>
  <si>
    <t xml:space="preserve">      5425 Weidner Endowment Program</t>
  </si>
  <si>
    <t xml:space="preserve">   Total 5400 Community Social Ministry</t>
  </si>
  <si>
    <t xml:space="preserve">   5500 Church Family Ministry</t>
  </si>
  <si>
    <t xml:space="preserve">      5510 Education Funding</t>
  </si>
  <si>
    <t xml:space="preserve">      5520 Young Adults</t>
  </si>
  <si>
    <t xml:space="preserve">      5530 ELCA National Youth Gathering</t>
  </si>
  <si>
    <t xml:space="preserve">      5540 Hospitality</t>
  </si>
  <si>
    <t xml:space="preserve">   Total 5500 Church Family Ministry</t>
  </si>
  <si>
    <t xml:space="preserve">   5600 Witness/Evangelism</t>
  </si>
  <si>
    <t xml:space="preserve">      5610 Caring Funding</t>
  </si>
  <si>
    <t xml:space="preserve">      5620 Publicity &amp; Advertising</t>
  </si>
  <si>
    <t xml:space="preserve">      5630 Living Nativity</t>
  </si>
  <si>
    <t xml:space="preserve">   Total 5600 Witness/Evangelism</t>
  </si>
  <si>
    <t xml:space="preserve">   5700 Administration</t>
  </si>
  <si>
    <t xml:space="preserve">      5715 Office Administrator Compensation</t>
  </si>
  <si>
    <t xml:space="preserve">      5716 Office Administrator Social Security</t>
  </si>
  <si>
    <t xml:space="preserve">      5717 Office Administrator Benefits</t>
  </si>
  <si>
    <t xml:space="preserve">      5750 Office Equip Lease, Maintenance</t>
  </si>
  <si>
    <t xml:space="preserve">      5755 Office Supplies</t>
  </si>
  <si>
    <t xml:space="preserve">      5760 Computer</t>
  </si>
  <si>
    <t xml:space="preserve">         5761 Software</t>
  </si>
  <si>
    <t xml:space="preserve">         5762 Hardware</t>
  </si>
  <si>
    <t xml:space="preserve">         5763 Emergency Support</t>
  </si>
  <si>
    <t xml:space="preserve">      Total 5760 Computer</t>
  </si>
  <si>
    <t xml:space="preserve">      5770 Telephones, Internet</t>
  </si>
  <si>
    <t xml:space="preserve">      5780 Postage</t>
  </si>
  <si>
    <t xml:space="preserve">   Total 5700 Administration</t>
  </si>
  <si>
    <t xml:space="preserve">   5800 Property</t>
  </si>
  <si>
    <t xml:space="preserve">      5810 Custodian Compensation</t>
  </si>
  <si>
    <t xml:space="preserve">      5811 Custodian Social Security</t>
  </si>
  <si>
    <t xml:space="preserve">      5812 Custodian Benefits</t>
  </si>
  <si>
    <t xml:space="preserve">      5830 Property Contracts</t>
  </si>
  <si>
    <t xml:space="preserve">         5831 Cleaning</t>
  </si>
  <si>
    <t xml:space="preserve">         5832 Lawn Maintenance</t>
  </si>
  <si>
    <t xml:space="preserve">         5833 Snow Removal</t>
  </si>
  <si>
    <t xml:space="preserve">         5834 Exterminator</t>
  </si>
  <si>
    <t xml:space="preserve">         5835 Security</t>
  </si>
  <si>
    <t xml:space="preserve">      Total 5830 Property Contracts</t>
  </si>
  <si>
    <t xml:space="preserve">      5840 Utilities</t>
  </si>
  <si>
    <t xml:space="preserve">         5841 Gas &amp; Electric</t>
  </si>
  <si>
    <t xml:space="preserve">         5842 Water &amp; Sewer</t>
  </si>
  <si>
    <t xml:space="preserve">      Total 5840 Utilities</t>
  </si>
  <si>
    <t xml:space="preserve">      5850 Repairs &amp; Maintenance</t>
  </si>
  <si>
    <t xml:space="preserve">      5860 Janitorial Supplies</t>
  </si>
  <si>
    <t xml:space="preserve">   Total 5800 Property</t>
  </si>
  <si>
    <t xml:space="preserve">   5900 Finance</t>
  </si>
  <si>
    <t xml:space="preserve">      5910 Mortgage Interest</t>
  </si>
  <si>
    <t xml:space="preserve">      5920 Insurance</t>
  </si>
  <si>
    <t xml:space="preserve">      5930 Payroll Expense</t>
  </si>
  <si>
    <t xml:space="preserve">   Total 5900 Finance</t>
  </si>
  <si>
    <t xml:space="preserve">   6000 Stewardship</t>
  </si>
  <si>
    <t xml:space="preserve">      6010 Stewardship Supplies</t>
  </si>
  <si>
    <t xml:space="preserve">      6020 Credit Card Trans Fees</t>
  </si>
  <si>
    <t xml:space="preserve">   Total 6000 Stewardship</t>
  </si>
  <si>
    <t>Total Expenditures</t>
  </si>
  <si>
    <t>Net Operating Revenue</t>
  </si>
  <si>
    <t>Net Revenue</t>
  </si>
  <si>
    <t>Friday, Feb 07, 2025 06:08:59 AM GMT-8 - Accrual Basis</t>
  </si>
  <si>
    <t>Good Shepherd Lutheran Church</t>
  </si>
  <si>
    <t xml:space="preserve">Budget vs. Actuals: Budget_FY25_P&amp;L - FY25 P&amp;L 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</si>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</sst>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tabSelected="1" workbookViewId="0">
      <selection sqref="A1:G1"/>
    </sheetView>
  </sheetViews>
  <sheetFormatPr defaultRowHeight="14.4" x14ac:dyDescent="0.3"/>
  <cols>
    <col min="1" max="1" width="41.21875" customWidth="1"/>
    <col min="2" max="7" width="12" customWidth="1"/>
  </cols>
  <sheetData>
    <row r="1" spans="1:7" ht="17.399999999999999" x14ac:dyDescent="0.3">
      <c r="A1" s="12" t="s">
        <v>124</v>
      </c>
      <c r="B1" s="11"/>
      <c r="C1" s="11"/>
      <c r="D1" s="11"/>
      <c r="E1" s="11"/>
      <c r="F1" s="11"/>
      <c r="G1" s="11"/>
    </row>
    <row r="2" spans="1:7" ht="17.399999999999999" x14ac:dyDescent="0.3">
      <c r="A2" s="12" t="s">
        <v>125</v>
      </c>
      <c r="B2" s="11"/>
      <c r="C2" s="11"/>
      <c r="D2" s="11"/>
      <c r="E2" s="11"/>
      <c r="F2" s="11"/>
      <c r="G2" s="11"/>
    </row>
    <row r="3" spans="1:7" x14ac:dyDescent="0.3">
      <c r="A3" s="13" t="s">
        <v>126</v>
      </c>
      <c r="B3" s="11"/>
      <c r="C3" s="11"/>
      <c r="D3" s="11"/>
      <c r="E3" s="11"/>
      <c r="F3" s="11"/>
      <c r="G3" s="11"/>
    </row>
    <row r="5" spans="1:7" x14ac:dyDescent="0.3">
      <c r="A5" s="1"/>
      <c r="B5" s="8" t="s">
        <v>0</v>
      </c>
      <c r="C5" s="9"/>
      <c r="D5" s="9"/>
      <c r="E5" s="8" t="s">
        <v>1</v>
      </c>
      <c r="F5" s="9"/>
      <c r="G5" s="9"/>
    </row>
    <row r="6" spans="1:7" x14ac:dyDescent="0.3">
      <c r="A6" s="1"/>
      <c r="B6" s="2" t="s">
        <v>2</v>
      </c>
      <c r="C6" s="2" t="s">
        <v>3</v>
      </c>
      <c r="D6" s="2" t="s">
        <v>4</v>
      </c>
      <c r="E6" s="2" t="s">
        <v>2</v>
      </c>
      <c r="F6" s="2" t="s">
        <v>3</v>
      </c>
      <c r="G6" s="2" t="s">
        <v>4</v>
      </c>
    </row>
    <row r="7" spans="1:7" x14ac:dyDescent="0.3">
      <c r="A7" s="3" t="s">
        <v>5</v>
      </c>
      <c r="B7" s="4"/>
      <c r="C7" s="4"/>
      <c r="D7" s="4"/>
      <c r="E7" s="4"/>
      <c r="F7" s="4"/>
      <c r="G7" s="4"/>
    </row>
    <row r="8" spans="1:7" x14ac:dyDescent="0.3">
      <c r="A8" s="3" t="s">
        <v>6</v>
      </c>
      <c r="B8" s="4"/>
      <c r="C8" s="4"/>
      <c r="D8" s="5">
        <f t="shared" ref="D8:D24" si="0">(B8)-(C8)</f>
        <v>0</v>
      </c>
      <c r="E8" s="5">
        <f t="shared" ref="E8:E24" si="1">B8</f>
        <v>0</v>
      </c>
      <c r="F8" s="5">
        <f t="shared" ref="F8:F24" si="2">C8</f>
        <v>0</v>
      </c>
      <c r="G8" s="5">
        <f t="shared" ref="G8:G24" si="3">(E8)-(F8)</f>
        <v>0</v>
      </c>
    </row>
    <row r="9" spans="1:7" x14ac:dyDescent="0.3">
      <c r="A9" s="3" t="s">
        <v>7</v>
      </c>
      <c r="B9" s="4"/>
      <c r="C9" s="4"/>
      <c r="D9" s="5">
        <f t="shared" si="0"/>
        <v>0</v>
      </c>
      <c r="E9" s="5">
        <f t="shared" si="1"/>
        <v>0</v>
      </c>
      <c r="F9" s="5">
        <f t="shared" si="2"/>
        <v>0</v>
      </c>
      <c r="G9" s="5">
        <f t="shared" si="3"/>
        <v>0</v>
      </c>
    </row>
    <row r="10" spans="1:7" x14ac:dyDescent="0.3">
      <c r="A10" s="3" t="s">
        <v>8</v>
      </c>
      <c r="B10" s="5">
        <f>44736.94</f>
        <v>44736.94</v>
      </c>
      <c r="C10" s="5">
        <f>39104.5</f>
        <v>39104.5</v>
      </c>
      <c r="D10" s="5">
        <f t="shared" si="0"/>
        <v>5632.4400000000023</v>
      </c>
      <c r="E10" s="5">
        <f t="shared" si="1"/>
        <v>44736.94</v>
      </c>
      <c r="F10" s="5">
        <f t="shared" si="2"/>
        <v>39104.5</v>
      </c>
      <c r="G10" s="5">
        <f t="shared" si="3"/>
        <v>5632.4400000000023</v>
      </c>
    </row>
    <row r="11" spans="1:7" x14ac:dyDescent="0.3">
      <c r="A11" s="3" t="s">
        <v>9</v>
      </c>
      <c r="B11" s="5">
        <f>335</f>
        <v>335</v>
      </c>
      <c r="C11" s="5">
        <f>291.67</f>
        <v>291.67</v>
      </c>
      <c r="D11" s="5">
        <f t="shared" si="0"/>
        <v>43.329999999999984</v>
      </c>
      <c r="E11" s="5">
        <f t="shared" si="1"/>
        <v>335</v>
      </c>
      <c r="F11" s="5">
        <f t="shared" si="2"/>
        <v>291.67</v>
      </c>
      <c r="G11" s="5">
        <f t="shared" si="3"/>
        <v>43.329999999999984</v>
      </c>
    </row>
    <row r="12" spans="1:7" x14ac:dyDescent="0.3">
      <c r="A12" s="3" t="s">
        <v>10</v>
      </c>
      <c r="B12" s="6">
        <f>((B9)+(B10))+(B11)</f>
        <v>45071.94</v>
      </c>
      <c r="C12" s="6">
        <f>((C9)+(C10))+(C11)</f>
        <v>39396.17</v>
      </c>
      <c r="D12" s="6">
        <f t="shared" si="0"/>
        <v>5675.7700000000041</v>
      </c>
      <c r="E12" s="6">
        <f t="shared" si="1"/>
        <v>45071.94</v>
      </c>
      <c r="F12" s="6">
        <f t="shared" si="2"/>
        <v>39396.17</v>
      </c>
      <c r="G12" s="6">
        <f t="shared" si="3"/>
        <v>5675.7700000000041</v>
      </c>
    </row>
    <row r="13" spans="1:7" x14ac:dyDescent="0.3">
      <c r="A13" s="3" t="s">
        <v>11</v>
      </c>
      <c r="B13" s="4"/>
      <c r="C13" s="4"/>
      <c r="D13" s="5">
        <f t="shared" si="0"/>
        <v>0</v>
      </c>
      <c r="E13" s="5">
        <f t="shared" si="1"/>
        <v>0</v>
      </c>
      <c r="F13" s="5">
        <f t="shared" si="2"/>
        <v>0</v>
      </c>
      <c r="G13" s="5">
        <f t="shared" si="3"/>
        <v>0</v>
      </c>
    </row>
    <row r="14" spans="1:7" x14ac:dyDescent="0.3">
      <c r="A14" s="3" t="s">
        <v>12</v>
      </c>
      <c r="B14" s="5">
        <f>4836.85</f>
        <v>4836.8500000000004</v>
      </c>
      <c r="C14" s="5">
        <f>4710.58</f>
        <v>4710.58</v>
      </c>
      <c r="D14" s="5">
        <f t="shared" si="0"/>
        <v>126.27000000000044</v>
      </c>
      <c r="E14" s="5">
        <f t="shared" si="1"/>
        <v>4836.8500000000004</v>
      </c>
      <c r="F14" s="5">
        <f t="shared" si="2"/>
        <v>4710.58</v>
      </c>
      <c r="G14" s="5">
        <f t="shared" si="3"/>
        <v>126.27000000000044</v>
      </c>
    </row>
    <row r="15" spans="1:7" x14ac:dyDescent="0.3">
      <c r="A15" s="3" t="s">
        <v>13</v>
      </c>
      <c r="B15" s="4"/>
      <c r="C15" s="5">
        <f>0</f>
        <v>0</v>
      </c>
      <c r="D15" s="5">
        <f t="shared" si="0"/>
        <v>0</v>
      </c>
      <c r="E15" s="5">
        <f t="shared" si="1"/>
        <v>0</v>
      </c>
      <c r="F15" s="5">
        <f t="shared" si="2"/>
        <v>0</v>
      </c>
      <c r="G15" s="5">
        <f t="shared" si="3"/>
        <v>0</v>
      </c>
    </row>
    <row r="16" spans="1:7" x14ac:dyDescent="0.3">
      <c r="A16" s="3" t="s">
        <v>14</v>
      </c>
      <c r="B16" s="6">
        <f>((B13)+(B14))+(B15)</f>
        <v>4836.8500000000004</v>
      </c>
      <c r="C16" s="6">
        <f>((C13)+(C14))+(C15)</f>
        <v>4710.58</v>
      </c>
      <c r="D16" s="6">
        <f t="shared" si="0"/>
        <v>126.27000000000044</v>
      </c>
      <c r="E16" s="6">
        <f t="shared" si="1"/>
        <v>4836.8500000000004</v>
      </c>
      <c r="F16" s="6">
        <f t="shared" si="2"/>
        <v>4710.58</v>
      </c>
      <c r="G16" s="6">
        <f t="shared" si="3"/>
        <v>126.27000000000044</v>
      </c>
    </row>
    <row r="17" spans="1:7" x14ac:dyDescent="0.3">
      <c r="A17" s="3" t="s">
        <v>15</v>
      </c>
      <c r="B17" s="4"/>
      <c r="C17" s="4"/>
      <c r="D17" s="5">
        <f t="shared" si="0"/>
        <v>0</v>
      </c>
      <c r="E17" s="5">
        <f t="shared" si="1"/>
        <v>0</v>
      </c>
      <c r="F17" s="5">
        <f t="shared" si="2"/>
        <v>0</v>
      </c>
      <c r="G17" s="5">
        <f t="shared" si="3"/>
        <v>0</v>
      </c>
    </row>
    <row r="18" spans="1:7" x14ac:dyDescent="0.3">
      <c r="A18" s="3" t="s">
        <v>16</v>
      </c>
      <c r="B18" s="5">
        <f>250</f>
        <v>250</v>
      </c>
      <c r="C18" s="5">
        <f>125</f>
        <v>125</v>
      </c>
      <c r="D18" s="5">
        <f t="shared" si="0"/>
        <v>125</v>
      </c>
      <c r="E18" s="5">
        <f t="shared" si="1"/>
        <v>250</v>
      </c>
      <c r="F18" s="5">
        <f t="shared" si="2"/>
        <v>125</v>
      </c>
      <c r="G18" s="5">
        <f t="shared" si="3"/>
        <v>125</v>
      </c>
    </row>
    <row r="19" spans="1:7" x14ac:dyDescent="0.3">
      <c r="A19" s="3" t="s">
        <v>17</v>
      </c>
      <c r="B19" s="5">
        <f>912</f>
        <v>912</v>
      </c>
      <c r="C19" s="5">
        <f>833.33</f>
        <v>833.33</v>
      </c>
      <c r="D19" s="5">
        <f t="shared" si="0"/>
        <v>78.669999999999959</v>
      </c>
      <c r="E19" s="5">
        <f t="shared" si="1"/>
        <v>912</v>
      </c>
      <c r="F19" s="5">
        <f t="shared" si="2"/>
        <v>833.33</v>
      </c>
      <c r="G19" s="5">
        <f t="shared" si="3"/>
        <v>78.669999999999959</v>
      </c>
    </row>
    <row r="20" spans="1:7" x14ac:dyDescent="0.3">
      <c r="A20" s="3" t="s">
        <v>18</v>
      </c>
      <c r="B20" s="4"/>
      <c r="C20" s="5">
        <f>0</f>
        <v>0</v>
      </c>
      <c r="D20" s="5">
        <f t="shared" si="0"/>
        <v>0</v>
      </c>
      <c r="E20" s="5">
        <f t="shared" si="1"/>
        <v>0</v>
      </c>
      <c r="F20" s="5">
        <f t="shared" si="2"/>
        <v>0</v>
      </c>
      <c r="G20" s="5">
        <f t="shared" si="3"/>
        <v>0</v>
      </c>
    </row>
    <row r="21" spans="1:7" x14ac:dyDescent="0.3">
      <c r="A21" s="3" t="s">
        <v>19</v>
      </c>
      <c r="B21" s="6">
        <f>(((B17)+(B18))+(B19))+(B20)</f>
        <v>1162</v>
      </c>
      <c r="C21" s="6">
        <f>(((C17)+(C18))+(C19))+(C20)</f>
        <v>958.33</v>
      </c>
      <c r="D21" s="6">
        <f t="shared" si="0"/>
        <v>203.66999999999996</v>
      </c>
      <c r="E21" s="6">
        <f t="shared" si="1"/>
        <v>1162</v>
      </c>
      <c r="F21" s="6">
        <f t="shared" si="2"/>
        <v>958.33</v>
      </c>
      <c r="G21" s="6">
        <f t="shared" si="3"/>
        <v>203.66999999999996</v>
      </c>
    </row>
    <row r="22" spans="1:7" x14ac:dyDescent="0.3">
      <c r="A22" s="3" t="s">
        <v>20</v>
      </c>
      <c r="B22" s="6">
        <f>(((B8)+(B12))+(B16))+(B21)</f>
        <v>51070.79</v>
      </c>
      <c r="C22" s="6">
        <f>(((C8)+(C12))+(C16))+(C21)</f>
        <v>45065.08</v>
      </c>
      <c r="D22" s="6">
        <f t="shared" si="0"/>
        <v>6005.7099999999991</v>
      </c>
      <c r="E22" s="6">
        <f t="shared" si="1"/>
        <v>51070.79</v>
      </c>
      <c r="F22" s="6">
        <f t="shared" si="2"/>
        <v>45065.08</v>
      </c>
      <c r="G22" s="6">
        <f t="shared" si="3"/>
        <v>6005.7099999999991</v>
      </c>
    </row>
    <row r="23" spans="1:7" x14ac:dyDescent="0.3">
      <c r="A23" s="3" t="s">
        <v>21</v>
      </c>
      <c r="B23" s="6">
        <f>B22</f>
        <v>51070.79</v>
      </c>
      <c r="C23" s="6">
        <f>C22</f>
        <v>45065.08</v>
      </c>
      <c r="D23" s="6">
        <f t="shared" si="0"/>
        <v>6005.7099999999991</v>
      </c>
      <c r="E23" s="6">
        <f t="shared" si="1"/>
        <v>51070.79</v>
      </c>
      <c r="F23" s="6">
        <f t="shared" si="2"/>
        <v>45065.08</v>
      </c>
      <c r="G23" s="6">
        <f t="shared" si="3"/>
        <v>6005.7099999999991</v>
      </c>
    </row>
    <row r="24" spans="1:7" x14ac:dyDescent="0.3">
      <c r="A24" s="3" t="s">
        <v>22</v>
      </c>
      <c r="B24" s="6">
        <f>(B23)-(0)</f>
        <v>51070.79</v>
      </c>
      <c r="C24" s="6">
        <f>(C23)-(0)</f>
        <v>45065.08</v>
      </c>
      <c r="D24" s="6">
        <f t="shared" si="0"/>
        <v>6005.7099999999991</v>
      </c>
      <c r="E24" s="6">
        <f t="shared" si="1"/>
        <v>51070.79</v>
      </c>
      <c r="F24" s="6">
        <f t="shared" si="2"/>
        <v>45065.08</v>
      </c>
      <c r="G24" s="6">
        <f t="shared" si="3"/>
        <v>6005.7099999999991</v>
      </c>
    </row>
    <row r="25" spans="1:7" x14ac:dyDescent="0.3">
      <c r="A25" s="3" t="s">
        <v>23</v>
      </c>
      <c r="B25" s="4"/>
      <c r="C25" s="4"/>
      <c r="D25" s="4"/>
      <c r="E25" s="4"/>
      <c r="F25" s="4"/>
      <c r="G25" s="4"/>
    </row>
    <row r="26" spans="1:7" x14ac:dyDescent="0.3">
      <c r="A26" s="3" t="s">
        <v>24</v>
      </c>
      <c r="B26" s="4"/>
      <c r="C26" s="4"/>
      <c r="D26" s="5">
        <f t="shared" ref="D26:D57" si="4">(B26)-(C26)</f>
        <v>0</v>
      </c>
      <c r="E26" s="5">
        <f t="shared" ref="E26:E57" si="5">B26</f>
        <v>0</v>
      </c>
      <c r="F26" s="5">
        <f t="shared" ref="F26:F57" si="6">C26</f>
        <v>0</v>
      </c>
      <c r="G26" s="5">
        <f t="shared" ref="G26:G57" si="7">(E26)-(F26)</f>
        <v>0</v>
      </c>
    </row>
    <row r="27" spans="1:7" x14ac:dyDescent="0.3">
      <c r="A27" s="3" t="s">
        <v>25</v>
      </c>
      <c r="B27" s="5">
        <f>7224.46</f>
        <v>7224.46</v>
      </c>
      <c r="C27" s="5">
        <f>7932.08</f>
        <v>7932.08</v>
      </c>
      <c r="D27" s="5">
        <f t="shared" si="4"/>
        <v>-707.61999999999989</v>
      </c>
      <c r="E27" s="5">
        <f t="shared" si="5"/>
        <v>7224.46</v>
      </c>
      <c r="F27" s="5">
        <f t="shared" si="6"/>
        <v>7932.08</v>
      </c>
      <c r="G27" s="5">
        <f t="shared" si="7"/>
        <v>-707.61999999999989</v>
      </c>
    </row>
    <row r="28" spans="1:7" x14ac:dyDescent="0.3">
      <c r="A28" s="3" t="s">
        <v>26</v>
      </c>
      <c r="B28" s="5">
        <f>944.3</f>
        <v>944.3</v>
      </c>
      <c r="C28" s="5">
        <f>951.83</f>
        <v>951.83</v>
      </c>
      <c r="D28" s="5">
        <f t="shared" si="4"/>
        <v>-7.5300000000000864</v>
      </c>
      <c r="E28" s="5">
        <f t="shared" si="5"/>
        <v>944.3</v>
      </c>
      <c r="F28" s="5">
        <f t="shared" si="6"/>
        <v>951.83</v>
      </c>
      <c r="G28" s="5">
        <f t="shared" si="7"/>
        <v>-7.5300000000000864</v>
      </c>
    </row>
    <row r="29" spans="1:7" x14ac:dyDescent="0.3">
      <c r="A29" s="3" t="s">
        <v>27</v>
      </c>
      <c r="B29" s="4"/>
      <c r="C29" s="5">
        <f>41.67</f>
        <v>41.67</v>
      </c>
      <c r="D29" s="5">
        <f t="shared" si="4"/>
        <v>-41.67</v>
      </c>
      <c r="E29" s="5">
        <f t="shared" si="5"/>
        <v>0</v>
      </c>
      <c r="F29" s="5">
        <f t="shared" si="6"/>
        <v>41.67</v>
      </c>
      <c r="G29" s="5">
        <f t="shared" si="7"/>
        <v>-41.67</v>
      </c>
    </row>
    <row r="30" spans="1:7" x14ac:dyDescent="0.3">
      <c r="A30" s="3" t="s">
        <v>28</v>
      </c>
      <c r="B30" s="5">
        <f>2652.16</f>
        <v>2652.16</v>
      </c>
      <c r="C30" s="5">
        <f>3016.67</f>
        <v>3016.67</v>
      </c>
      <c r="D30" s="5">
        <f t="shared" si="4"/>
        <v>-364.51000000000022</v>
      </c>
      <c r="E30" s="5">
        <f t="shared" si="5"/>
        <v>2652.16</v>
      </c>
      <c r="F30" s="5">
        <f t="shared" si="6"/>
        <v>3016.67</v>
      </c>
      <c r="G30" s="5">
        <f t="shared" si="7"/>
        <v>-364.51000000000022</v>
      </c>
    </row>
    <row r="31" spans="1:7" x14ac:dyDescent="0.3">
      <c r="A31" s="3" t="s">
        <v>29</v>
      </c>
      <c r="B31" s="5">
        <f>202.9</f>
        <v>202.9</v>
      </c>
      <c r="C31" s="5">
        <f>230.75</f>
        <v>230.75</v>
      </c>
      <c r="D31" s="5">
        <f t="shared" si="4"/>
        <v>-27.849999999999994</v>
      </c>
      <c r="E31" s="5">
        <f t="shared" si="5"/>
        <v>202.9</v>
      </c>
      <c r="F31" s="5">
        <f t="shared" si="6"/>
        <v>230.75</v>
      </c>
      <c r="G31" s="5">
        <f t="shared" si="7"/>
        <v>-27.849999999999994</v>
      </c>
    </row>
    <row r="32" spans="1:7" x14ac:dyDescent="0.3">
      <c r="A32" s="3" t="s">
        <v>30</v>
      </c>
      <c r="B32" s="4"/>
      <c r="C32" s="5">
        <f>41.67</f>
        <v>41.67</v>
      </c>
      <c r="D32" s="5">
        <f t="shared" si="4"/>
        <v>-41.67</v>
      </c>
      <c r="E32" s="5">
        <f t="shared" si="5"/>
        <v>0</v>
      </c>
      <c r="F32" s="5">
        <f t="shared" si="6"/>
        <v>41.67</v>
      </c>
      <c r="G32" s="5">
        <f t="shared" si="7"/>
        <v>-41.67</v>
      </c>
    </row>
    <row r="33" spans="1:7" x14ac:dyDescent="0.3">
      <c r="A33" s="3" t="s">
        <v>31</v>
      </c>
      <c r="B33" s="4"/>
      <c r="C33" s="5">
        <f>0</f>
        <v>0</v>
      </c>
      <c r="D33" s="5">
        <f t="shared" si="4"/>
        <v>0</v>
      </c>
      <c r="E33" s="5">
        <f t="shared" si="5"/>
        <v>0</v>
      </c>
      <c r="F33" s="5">
        <f t="shared" si="6"/>
        <v>0</v>
      </c>
      <c r="G33" s="5">
        <f t="shared" si="7"/>
        <v>0</v>
      </c>
    </row>
    <row r="34" spans="1:7" x14ac:dyDescent="0.3">
      <c r="A34" s="3" t="s">
        <v>32</v>
      </c>
      <c r="B34" s="6">
        <f>(((((((B26)+(B27))+(B28))+(B29))+(B30))+(B31))+(B32))+(B33)</f>
        <v>11023.82</v>
      </c>
      <c r="C34" s="6">
        <f>(((((((C26)+(C27))+(C28))+(C29))+(C30))+(C31))+(C32))+(C33)</f>
        <v>12214.67</v>
      </c>
      <c r="D34" s="6">
        <f t="shared" si="4"/>
        <v>-1190.8500000000004</v>
      </c>
      <c r="E34" s="6">
        <f t="shared" si="5"/>
        <v>11023.82</v>
      </c>
      <c r="F34" s="6">
        <f t="shared" si="6"/>
        <v>12214.67</v>
      </c>
      <c r="G34" s="6">
        <f t="shared" si="7"/>
        <v>-1190.8500000000004</v>
      </c>
    </row>
    <row r="35" spans="1:7" x14ac:dyDescent="0.3">
      <c r="A35" s="3" t="s">
        <v>33</v>
      </c>
      <c r="B35" s="4"/>
      <c r="C35" s="4"/>
      <c r="D35" s="5">
        <f t="shared" si="4"/>
        <v>0</v>
      </c>
      <c r="E35" s="5">
        <f t="shared" si="5"/>
        <v>0</v>
      </c>
      <c r="F35" s="5">
        <f t="shared" si="6"/>
        <v>0</v>
      </c>
      <c r="G35" s="5">
        <f t="shared" si="7"/>
        <v>0</v>
      </c>
    </row>
    <row r="36" spans="1:7" x14ac:dyDescent="0.3">
      <c r="A36" s="3" t="s">
        <v>34</v>
      </c>
      <c r="B36" s="5">
        <f>1387.24</f>
        <v>1387.24</v>
      </c>
      <c r="C36" s="5">
        <f>1555.42</f>
        <v>1555.42</v>
      </c>
      <c r="D36" s="5">
        <f t="shared" si="4"/>
        <v>-168.18000000000006</v>
      </c>
      <c r="E36" s="5">
        <f t="shared" si="5"/>
        <v>1387.24</v>
      </c>
      <c r="F36" s="5">
        <f t="shared" si="6"/>
        <v>1555.42</v>
      </c>
      <c r="G36" s="5">
        <f t="shared" si="7"/>
        <v>-168.18000000000006</v>
      </c>
    </row>
    <row r="37" spans="1:7" x14ac:dyDescent="0.3">
      <c r="A37" s="3" t="s">
        <v>35</v>
      </c>
      <c r="B37" s="5">
        <f>106.12</f>
        <v>106.12</v>
      </c>
      <c r="C37" s="5">
        <f>119</f>
        <v>119</v>
      </c>
      <c r="D37" s="5">
        <f t="shared" si="4"/>
        <v>-12.879999999999995</v>
      </c>
      <c r="E37" s="5">
        <f t="shared" si="5"/>
        <v>106.12</v>
      </c>
      <c r="F37" s="5">
        <f t="shared" si="6"/>
        <v>119</v>
      </c>
      <c r="G37" s="5">
        <f t="shared" si="7"/>
        <v>-12.879999999999995</v>
      </c>
    </row>
    <row r="38" spans="1:7" x14ac:dyDescent="0.3">
      <c r="A38" s="3" t="s">
        <v>36</v>
      </c>
      <c r="B38" s="5">
        <f>356.5</f>
        <v>356.5</v>
      </c>
      <c r="C38" s="5">
        <f>274</f>
        <v>274</v>
      </c>
      <c r="D38" s="5">
        <f t="shared" si="4"/>
        <v>82.5</v>
      </c>
      <c r="E38" s="5">
        <f t="shared" si="5"/>
        <v>356.5</v>
      </c>
      <c r="F38" s="5">
        <f t="shared" si="6"/>
        <v>274</v>
      </c>
      <c r="G38" s="5">
        <f t="shared" si="7"/>
        <v>82.5</v>
      </c>
    </row>
    <row r="39" spans="1:7" x14ac:dyDescent="0.3">
      <c r="A39" s="3" t="s">
        <v>37</v>
      </c>
      <c r="B39" s="5">
        <f>27.27</f>
        <v>27.27</v>
      </c>
      <c r="C39" s="5">
        <f>21</f>
        <v>21</v>
      </c>
      <c r="D39" s="5">
        <f t="shared" si="4"/>
        <v>6.27</v>
      </c>
      <c r="E39" s="5">
        <f t="shared" si="5"/>
        <v>27.27</v>
      </c>
      <c r="F39" s="5">
        <f t="shared" si="6"/>
        <v>21</v>
      </c>
      <c r="G39" s="5">
        <f t="shared" si="7"/>
        <v>6.27</v>
      </c>
    </row>
    <row r="40" spans="1:7" x14ac:dyDescent="0.3">
      <c r="A40" s="3" t="s">
        <v>38</v>
      </c>
      <c r="B40" s="4"/>
      <c r="C40" s="5">
        <f>0</f>
        <v>0</v>
      </c>
      <c r="D40" s="5">
        <f t="shared" si="4"/>
        <v>0</v>
      </c>
      <c r="E40" s="5">
        <f t="shared" si="5"/>
        <v>0</v>
      </c>
      <c r="F40" s="5">
        <f t="shared" si="6"/>
        <v>0</v>
      </c>
      <c r="G40" s="5">
        <f t="shared" si="7"/>
        <v>0</v>
      </c>
    </row>
    <row r="41" spans="1:7" x14ac:dyDescent="0.3">
      <c r="A41" s="3" t="s">
        <v>39</v>
      </c>
      <c r="B41" s="4"/>
      <c r="C41" s="5">
        <f>0</f>
        <v>0</v>
      </c>
      <c r="D41" s="5">
        <f t="shared" si="4"/>
        <v>0</v>
      </c>
      <c r="E41" s="5">
        <f t="shared" si="5"/>
        <v>0</v>
      </c>
      <c r="F41" s="5">
        <f t="shared" si="6"/>
        <v>0</v>
      </c>
      <c r="G41" s="5">
        <f t="shared" si="7"/>
        <v>0</v>
      </c>
    </row>
    <row r="42" spans="1:7" x14ac:dyDescent="0.3">
      <c r="A42" s="3" t="s">
        <v>40</v>
      </c>
      <c r="B42" s="5">
        <f>187.32</f>
        <v>187.32</v>
      </c>
      <c r="C42" s="5">
        <f>375</f>
        <v>375</v>
      </c>
      <c r="D42" s="5">
        <f t="shared" si="4"/>
        <v>-187.68</v>
      </c>
      <c r="E42" s="5">
        <f t="shared" si="5"/>
        <v>187.32</v>
      </c>
      <c r="F42" s="5">
        <f t="shared" si="6"/>
        <v>375</v>
      </c>
      <c r="G42" s="5">
        <f t="shared" si="7"/>
        <v>-187.68</v>
      </c>
    </row>
    <row r="43" spans="1:7" x14ac:dyDescent="0.3">
      <c r="A43" s="3" t="s">
        <v>41</v>
      </c>
      <c r="B43" s="4"/>
      <c r="C43" s="5">
        <f>250</f>
        <v>250</v>
      </c>
      <c r="D43" s="5">
        <f t="shared" si="4"/>
        <v>-250</v>
      </c>
      <c r="E43" s="5">
        <f t="shared" si="5"/>
        <v>0</v>
      </c>
      <c r="F43" s="5">
        <f t="shared" si="6"/>
        <v>250</v>
      </c>
      <c r="G43" s="5">
        <f t="shared" si="7"/>
        <v>-250</v>
      </c>
    </row>
    <row r="44" spans="1:7" x14ac:dyDescent="0.3">
      <c r="A44" s="3" t="s">
        <v>42</v>
      </c>
      <c r="B44" s="6">
        <f>((((((((B35)+(B36))+(B37))+(B38))+(B39))+(B40))+(B41))+(B42))+(B43)</f>
        <v>2064.4500000000003</v>
      </c>
      <c r="C44" s="6">
        <f>((((((((C35)+(C36))+(C37))+(C38))+(C39))+(C40))+(C41))+(C42))+(C43)</f>
        <v>2594.42</v>
      </c>
      <c r="D44" s="6">
        <f t="shared" si="4"/>
        <v>-529.9699999999998</v>
      </c>
      <c r="E44" s="6">
        <f t="shared" si="5"/>
        <v>2064.4500000000003</v>
      </c>
      <c r="F44" s="6">
        <f t="shared" si="6"/>
        <v>2594.42</v>
      </c>
      <c r="G44" s="6">
        <f t="shared" si="7"/>
        <v>-529.9699999999998</v>
      </c>
    </row>
    <row r="45" spans="1:7" x14ac:dyDescent="0.3">
      <c r="A45" s="3" t="s">
        <v>43</v>
      </c>
      <c r="B45" s="4"/>
      <c r="C45" s="4"/>
      <c r="D45" s="5">
        <f t="shared" si="4"/>
        <v>0</v>
      </c>
      <c r="E45" s="5">
        <f t="shared" si="5"/>
        <v>0</v>
      </c>
      <c r="F45" s="5">
        <f t="shared" si="6"/>
        <v>0</v>
      </c>
      <c r="G45" s="5">
        <f t="shared" si="7"/>
        <v>0</v>
      </c>
    </row>
    <row r="46" spans="1:7" x14ac:dyDescent="0.3">
      <c r="A46" s="3" t="s">
        <v>44</v>
      </c>
      <c r="B46" s="5">
        <f>6557</f>
        <v>6557</v>
      </c>
      <c r="C46" s="5">
        <f>6500.33</f>
        <v>6500.33</v>
      </c>
      <c r="D46" s="5">
        <f t="shared" si="4"/>
        <v>56.670000000000073</v>
      </c>
      <c r="E46" s="5">
        <f t="shared" si="5"/>
        <v>6557</v>
      </c>
      <c r="F46" s="5">
        <f t="shared" si="6"/>
        <v>6500.33</v>
      </c>
      <c r="G46" s="5">
        <f t="shared" si="7"/>
        <v>56.670000000000073</v>
      </c>
    </row>
    <row r="47" spans="1:7" x14ac:dyDescent="0.3">
      <c r="A47" s="3" t="s">
        <v>45</v>
      </c>
      <c r="B47" s="4"/>
      <c r="C47" s="5">
        <f>0</f>
        <v>0</v>
      </c>
      <c r="D47" s="5">
        <f t="shared" si="4"/>
        <v>0</v>
      </c>
      <c r="E47" s="5">
        <f t="shared" si="5"/>
        <v>0</v>
      </c>
      <c r="F47" s="5">
        <f t="shared" si="6"/>
        <v>0</v>
      </c>
      <c r="G47" s="5">
        <f t="shared" si="7"/>
        <v>0</v>
      </c>
    </row>
    <row r="48" spans="1:7" x14ac:dyDescent="0.3">
      <c r="A48" s="3" t="s">
        <v>46</v>
      </c>
      <c r="B48" s="4"/>
      <c r="C48" s="5">
        <f>0</f>
        <v>0</v>
      </c>
      <c r="D48" s="5">
        <f t="shared" si="4"/>
        <v>0</v>
      </c>
      <c r="E48" s="5">
        <f t="shared" si="5"/>
        <v>0</v>
      </c>
      <c r="F48" s="5">
        <f t="shared" si="6"/>
        <v>0</v>
      </c>
      <c r="G48" s="5">
        <f t="shared" si="7"/>
        <v>0</v>
      </c>
    </row>
    <row r="49" spans="1:7" x14ac:dyDescent="0.3">
      <c r="A49" s="3" t="s">
        <v>47</v>
      </c>
      <c r="B49" s="4"/>
      <c r="C49" s="5">
        <f>0</f>
        <v>0</v>
      </c>
      <c r="D49" s="5">
        <f t="shared" si="4"/>
        <v>0</v>
      </c>
      <c r="E49" s="5">
        <f t="shared" si="5"/>
        <v>0</v>
      </c>
      <c r="F49" s="5">
        <f t="shared" si="6"/>
        <v>0</v>
      </c>
      <c r="G49" s="5">
        <f t="shared" si="7"/>
        <v>0</v>
      </c>
    </row>
    <row r="50" spans="1:7" x14ac:dyDescent="0.3">
      <c r="A50" s="3" t="s">
        <v>48</v>
      </c>
      <c r="B50" s="4"/>
      <c r="C50" s="5">
        <f>0</f>
        <v>0</v>
      </c>
      <c r="D50" s="5">
        <f t="shared" si="4"/>
        <v>0</v>
      </c>
      <c r="E50" s="5">
        <f t="shared" si="5"/>
        <v>0</v>
      </c>
      <c r="F50" s="5">
        <f t="shared" si="6"/>
        <v>0</v>
      </c>
      <c r="G50" s="5">
        <f t="shared" si="7"/>
        <v>0</v>
      </c>
    </row>
    <row r="51" spans="1:7" x14ac:dyDescent="0.3">
      <c r="A51" s="3" t="s">
        <v>49</v>
      </c>
      <c r="B51" s="4"/>
      <c r="C51" s="5">
        <f>0</f>
        <v>0</v>
      </c>
      <c r="D51" s="5">
        <f t="shared" si="4"/>
        <v>0</v>
      </c>
      <c r="E51" s="5">
        <f t="shared" si="5"/>
        <v>0</v>
      </c>
      <c r="F51" s="5">
        <f t="shared" si="6"/>
        <v>0</v>
      </c>
      <c r="G51" s="5">
        <f t="shared" si="7"/>
        <v>0</v>
      </c>
    </row>
    <row r="52" spans="1:7" x14ac:dyDescent="0.3">
      <c r="A52" s="3" t="s">
        <v>50</v>
      </c>
      <c r="B52" s="6">
        <f>((((((B45)+(B46))+(B47))+(B48))+(B49))+(B50))+(B51)</f>
        <v>6557</v>
      </c>
      <c r="C52" s="6">
        <f>((((((C45)+(C46))+(C47))+(C48))+(C49))+(C50))+(C51)</f>
        <v>6500.33</v>
      </c>
      <c r="D52" s="6">
        <f t="shared" si="4"/>
        <v>56.670000000000073</v>
      </c>
      <c r="E52" s="6">
        <f t="shared" si="5"/>
        <v>6557</v>
      </c>
      <c r="F52" s="6">
        <f t="shared" si="6"/>
        <v>6500.33</v>
      </c>
      <c r="G52" s="6">
        <f t="shared" si="7"/>
        <v>56.670000000000073</v>
      </c>
    </row>
    <row r="53" spans="1:7" x14ac:dyDescent="0.3">
      <c r="A53" s="3" t="s">
        <v>51</v>
      </c>
      <c r="B53" s="4"/>
      <c r="C53" s="4"/>
      <c r="D53" s="5">
        <f t="shared" si="4"/>
        <v>0</v>
      </c>
      <c r="E53" s="5">
        <f t="shared" si="5"/>
        <v>0</v>
      </c>
      <c r="F53" s="5">
        <f t="shared" si="6"/>
        <v>0</v>
      </c>
      <c r="G53" s="5">
        <f t="shared" si="7"/>
        <v>0</v>
      </c>
    </row>
    <row r="54" spans="1:7" x14ac:dyDescent="0.3">
      <c r="A54" s="3" t="s">
        <v>52</v>
      </c>
      <c r="B54" s="4"/>
      <c r="C54" s="5">
        <f>0</f>
        <v>0</v>
      </c>
      <c r="D54" s="5">
        <f t="shared" si="4"/>
        <v>0</v>
      </c>
      <c r="E54" s="5">
        <f t="shared" si="5"/>
        <v>0</v>
      </c>
      <c r="F54" s="5">
        <f t="shared" si="6"/>
        <v>0</v>
      </c>
      <c r="G54" s="5">
        <f t="shared" si="7"/>
        <v>0</v>
      </c>
    </row>
    <row r="55" spans="1:7" x14ac:dyDescent="0.3">
      <c r="A55" s="3" t="s">
        <v>53</v>
      </c>
      <c r="B55" s="4"/>
      <c r="C55" s="5">
        <f>0</f>
        <v>0</v>
      </c>
      <c r="D55" s="5">
        <f t="shared" si="4"/>
        <v>0</v>
      </c>
      <c r="E55" s="5">
        <f t="shared" si="5"/>
        <v>0</v>
      </c>
      <c r="F55" s="5">
        <f t="shared" si="6"/>
        <v>0</v>
      </c>
      <c r="G55" s="5">
        <f t="shared" si="7"/>
        <v>0</v>
      </c>
    </row>
    <row r="56" spans="1:7" x14ac:dyDescent="0.3">
      <c r="A56" s="3" t="s">
        <v>54</v>
      </c>
      <c r="B56" s="4"/>
      <c r="C56" s="5">
        <f>0</f>
        <v>0</v>
      </c>
      <c r="D56" s="5">
        <f t="shared" si="4"/>
        <v>0</v>
      </c>
      <c r="E56" s="5">
        <f t="shared" si="5"/>
        <v>0</v>
      </c>
      <c r="F56" s="5">
        <f t="shared" si="6"/>
        <v>0</v>
      </c>
      <c r="G56" s="5">
        <f t="shared" si="7"/>
        <v>0</v>
      </c>
    </row>
    <row r="57" spans="1:7" x14ac:dyDescent="0.3">
      <c r="A57" s="3" t="s">
        <v>55</v>
      </c>
      <c r="B57" s="4"/>
      <c r="C57" s="5">
        <f>0</f>
        <v>0</v>
      </c>
      <c r="D57" s="5">
        <f t="shared" si="4"/>
        <v>0</v>
      </c>
      <c r="E57" s="5">
        <f t="shared" si="5"/>
        <v>0</v>
      </c>
      <c r="F57" s="5">
        <f t="shared" si="6"/>
        <v>0</v>
      </c>
      <c r="G57" s="5">
        <f t="shared" si="7"/>
        <v>0</v>
      </c>
    </row>
    <row r="58" spans="1:7" x14ac:dyDescent="0.3">
      <c r="A58" s="3" t="s">
        <v>56</v>
      </c>
      <c r="B58" s="4"/>
      <c r="C58" s="5">
        <f>0</f>
        <v>0</v>
      </c>
      <c r="D58" s="5">
        <f t="shared" ref="D58:D89" si="8">(B58)-(C58)</f>
        <v>0</v>
      </c>
      <c r="E58" s="5">
        <f t="shared" ref="E58:E89" si="9">B58</f>
        <v>0</v>
      </c>
      <c r="F58" s="5">
        <f t="shared" ref="F58:F89" si="10">C58</f>
        <v>0</v>
      </c>
      <c r="G58" s="5">
        <f t="shared" ref="G58:G89" si="11">(E58)-(F58)</f>
        <v>0</v>
      </c>
    </row>
    <row r="59" spans="1:7" x14ac:dyDescent="0.3">
      <c r="A59" s="3" t="s">
        <v>57</v>
      </c>
      <c r="B59" s="4"/>
      <c r="C59" s="5">
        <f>0</f>
        <v>0</v>
      </c>
      <c r="D59" s="5">
        <f t="shared" si="8"/>
        <v>0</v>
      </c>
      <c r="E59" s="5">
        <f t="shared" si="9"/>
        <v>0</v>
      </c>
      <c r="F59" s="5">
        <f t="shared" si="10"/>
        <v>0</v>
      </c>
      <c r="G59" s="5">
        <f t="shared" si="11"/>
        <v>0</v>
      </c>
    </row>
    <row r="60" spans="1:7" x14ac:dyDescent="0.3">
      <c r="A60" s="3" t="s">
        <v>58</v>
      </c>
      <c r="B60" s="4"/>
      <c r="C60" s="5">
        <f>0</f>
        <v>0</v>
      </c>
      <c r="D60" s="5">
        <f t="shared" si="8"/>
        <v>0</v>
      </c>
      <c r="E60" s="5">
        <f t="shared" si="9"/>
        <v>0</v>
      </c>
      <c r="F60" s="5">
        <f t="shared" si="10"/>
        <v>0</v>
      </c>
      <c r="G60" s="5">
        <f t="shared" si="11"/>
        <v>0</v>
      </c>
    </row>
    <row r="61" spans="1:7" x14ac:dyDescent="0.3">
      <c r="A61" s="3" t="s">
        <v>59</v>
      </c>
      <c r="B61" s="4"/>
      <c r="C61" s="5">
        <f>0</f>
        <v>0</v>
      </c>
      <c r="D61" s="5">
        <f t="shared" si="8"/>
        <v>0</v>
      </c>
      <c r="E61" s="5">
        <f t="shared" si="9"/>
        <v>0</v>
      </c>
      <c r="F61" s="5">
        <f t="shared" si="10"/>
        <v>0</v>
      </c>
      <c r="G61" s="5">
        <f t="shared" si="11"/>
        <v>0</v>
      </c>
    </row>
    <row r="62" spans="1:7" x14ac:dyDescent="0.3">
      <c r="A62" s="3" t="s">
        <v>60</v>
      </c>
      <c r="B62" s="4"/>
      <c r="C62" s="5">
        <f>0</f>
        <v>0</v>
      </c>
      <c r="D62" s="5">
        <f t="shared" si="8"/>
        <v>0</v>
      </c>
      <c r="E62" s="5">
        <f t="shared" si="9"/>
        <v>0</v>
      </c>
      <c r="F62" s="5">
        <f t="shared" si="10"/>
        <v>0</v>
      </c>
      <c r="G62" s="5">
        <f t="shared" si="11"/>
        <v>0</v>
      </c>
    </row>
    <row r="63" spans="1:7" x14ac:dyDescent="0.3">
      <c r="A63" s="3" t="s">
        <v>61</v>
      </c>
      <c r="B63" s="4"/>
      <c r="C63" s="5">
        <f>0</f>
        <v>0</v>
      </c>
      <c r="D63" s="5">
        <f t="shared" si="8"/>
        <v>0</v>
      </c>
      <c r="E63" s="5">
        <f t="shared" si="9"/>
        <v>0</v>
      </c>
      <c r="F63" s="5">
        <f t="shared" si="10"/>
        <v>0</v>
      </c>
      <c r="G63" s="5">
        <f t="shared" si="11"/>
        <v>0</v>
      </c>
    </row>
    <row r="64" spans="1:7" x14ac:dyDescent="0.3">
      <c r="A64" s="3" t="s">
        <v>62</v>
      </c>
      <c r="B64" s="4"/>
      <c r="C64" s="5">
        <f>0</f>
        <v>0</v>
      </c>
      <c r="D64" s="5">
        <f t="shared" si="8"/>
        <v>0</v>
      </c>
      <c r="E64" s="5">
        <f t="shared" si="9"/>
        <v>0</v>
      </c>
      <c r="F64" s="5">
        <f t="shared" si="10"/>
        <v>0</v>
      </c>
      <c r="G64" s="5">
        <f t="shared" si="11"/>
        <v>0</v>
      </c>
    </row>
    <row r="65" spans="1:7" x14ac:dyDescent="0.3">
      <c r="A65" s="3" t="s">
        <v>63</v>
      </c>
      <c r="B65" s="4"/>
      <c r="C65" s="5">
        <f>0</f>
        <v>0</v>
      </c>
      <c r="D65" s="5">
        <f t="shared" si="8"/>
        <v>0</v>
      </c>
      <c r="E65" s="5">
        <f t="shared" si="9"/>
        <v>0</v>
      </c>
      <c r="F65" s="5">
        <f t="shared" si="10"/>
        <v>0</v>
      </c>
      <c r="G65" s="5">
        <f t="shared" si="11"/>
        <v>0</v>
      </c>
    </row>
    <row r="66" spans="1:7" x14ac:dyDescent="0.3">
      <c r="A66" s="3" t="s">
        <v>64</v>
      </c>
      <c r="B66" s="4"/>
      <c r="C66" s="5">
        <f>0</f>
        <v>0</v>
      </c>
      <c r="D66" s="5">
        <f t="shared" si="8"/>
        <v>0</v>
      </c>
      <c r="E66" s="5">
        <f t="shared" si="9"/>
        <v>0</v>
      </c>
      <c r="F66" s="5">
        <f t="shared" si="10"/>
        <v>0</v>
      </c>
      <c r="G66" s="5">
        <f t="shared" si="11"/>
        <v>0</v>
      </c>
    </row>
    <row r="67" spans="1:7" x14ac:dyDescent="0.3">
      <c r="A67" s="3" t="s">
        <v>65</v>
      </c>
      <c r="B67" s="4"/>
      <c r="C67" s="5">
        <f>0</f>
        <v>0</v>
      </c>
      <c r="D67" s="5">
        <f t="shared" si="8"/>
        <v>0</v>
      </c>
      <c r="E67" s="5">
        <f t="shared" si="9"/>
        <v>0</v>
      </c>
      <c r="F67" s="5">
        <f t="shared" si="10"/>
        <v>0</v>
      </c>
      <c r="G67" s="5">
        <f t="shared" si="11"/>
        <v>0</v>
      </c>
    </row>
    <row r="68" spans="1:7" x14ac:dyDescent="0.3">
      <c r="A68" s="3" t="s">
        <v>66</v>
      </c>
      <c r="B68" s="4"/>
      <c r="C68" s="5">
        <f>0</f>
        <v>0</v>
      </c>
      <c r="D68" s="5">
        <f t="shared" si="8"/>
        <v>0</v>
      </c>
      <c r="E68" s="5">
        <f t="shared" si="9"/>
        <v>0</v>
      </c>
      <c r="F68" s="5">
        <f t="shared" si="10"/>
        <v>0</v>
      </c>
      <c r="G68" s="5">
        <f t="shared" si="11"/>
        <v>0</v>
      </c>
    </row>
    <row r="69" spans="1:7" x14ac:dyDescent="0.3">
      <c r="A69" s="3" t="s">
        <v>67</v>
      </c>
      <c r="B69" s="6">
        <f>(((((((((((((((B53)+(B54))+(B55))+(B56))+(B57))+(B58))+(B59))+(B60))+(B61))+(B62))+(B63))+(B64))+(B65))+(B66))+(B67))+(B68)</f>
        <v>0</v>
      </c>
      <c r="C69" s="6">
        <f>(((((((((((((((C53)+(C54))+(C55))+(C56))+(C57))+(C58))+(C59))+(C60))+(C61))+(C62))+(C63))+(C64))+(C65))+(C66))+(C67))+(C68)</f>
        <v>0</v>
      </c>
      <c r="D69" s="6">
        <f t="shared" si="8"/>
        <v>0</v>
      </c>
      <c r="E69" s="6">
        <f t="shared" si="9"/>
        <v>0</v>
      </c>
      <c r="F69" s="6">
        <f t="shared" si="10"/>
        <v>0</v>
      </c>
      <c r="G69" s="6">
        <f t="shared" si="11"/>
        <v>0</v>
      </c>
    </row>
    <row r="70" spans="1:7" x14ac:dyDescent="0.3">
      <c r="A70" s="3" t="s">
        <v>68</v>
      </c>
      <c r="B70" s="4"/>
      <c r="C70" s="4"/>
      <c r="D70" s="5">
        <f t="shared" si="8"/>
        <v>0</v>
      </c>
      <c r="E70" s="5">
        <f t="shared" si="9"/>
        <v>0</v>
      </c>
      <c r="F70" s="5">
        <f t="shared" si="10"/>
        <v>0</v>
      </c>
      <c r="G70" s="5">
        <f t="shared" si="11"/>
        <v>0</v>
      </c>
    </row>
    <row r="71" spans="1:7" x14ac:dyDescent="0.3">
      <c r="A71" s="3" t="s">
        <v>69</v>
      </c>
      <c r="B71" s="5">
        <f>63.98</f>
        <v>63.98</v>
      </c>
      <c r="C71" s="5">
        <f>458.33</f>
        <v>458.33</v>
      </c>
      <c r="D71" s="5">
        <f t="shared" si="8"/>
        <v>-394.34999999999997</v>
      </c>
      <c r="E71" s="5">
        <f t="shared" si="9"/>
        <v>63.98</v>
      </c>
      <c r="F71" s="5">
        <f t="shared" si="10"/>
        <v>458.33</v>
      </c>
      <c r="G71" s="5">
        <f t="shared" si="11"/>
        <v>-394.34999999999997</v>
      </c>
    </row>
    <row r="72" spans="1:7" x14ac:dyDescent="0.3">
      <c r="A72" s="3" t="s">
        <v>70</v>
      </c>
      <c r="B72" s="4"/>
      <c r="C72" s="5">
        <f>0</f>
        <v>0</v>
      </c>
      <c r="D72" s="5">
        <f t="shared" si="8"/>
        <v>0</v>
      </c>
      <c r="E72" s="5">
        <f t="shared" si="9"/>
        <v>0</v>
      </c>
      <c r="F72" s="5">
        <f t="shared" si="10"/>
        <v>0</v>
      </c>
      <c r="G72" s="5">
        <f t="shared" si="11"/>
        <v>0</v>
      </c>
    </row>
    <row r="73" spans="1:7" x14ac:dyDescent="0.3">
      <c r="A73" s="3" t="s">
        <v>71</v>
      </c>
      <c r="B73" s="4"/>
      <c r="C73" s="5">
        <f>1000</f>
        <v>1000</v>
      </c>
      <c r="D73" s="5">
        <f t="shared" si="8"/>
        <v>-1000</v>
      </c>
      <c r="E73" s="5">
        <f t="shared" si="9"/>
        <v>0</v>
      </c>
      <c r="F73" s="5">
        <f t="shared" si="10"/>
        <v>1000</v>
      </c>
      <c r="G73" s="5">
        <f t="shared" si="11"/>
        <v>-1000</v>
      </c>
    </row>
    <row r="74" spans="1:7" x14ac:dyDescent="0.3">
      <c r="A74" s="3" t="s">
        <v>72</v>
      </c>
      <c r="B74" s="4"/>
      <c r="C74" s="5">
        <f>208.33</f>
        <v>208.33</v>
      </c>
      <c r="D74" s="5">
        <f t="shared" si="8"/>
        <v>-208.33</v>
      </c>
      <c r="E74" s="5">
        <f t="shared" si="9"/>
        <v>0</v>
      </c>
      <c r="F74" s="5">
        <f t="shared" si="10"/>
        <v>208.33</v>
      </c>
      <c r="G74" s="5">
        <f t="shared" si="11"/>
        <v>-208.33</v>
      </c>
    </row>
    <row r="75" spans="1:7" x14ac:dyDescent="0.3">
      <c r="A75" s="3" t="s">
        <v>73</v>
      </c>
      <c r="B75" s="6">
        <f>((((B70)+(B71))+(B72))+(B73))+(B74)</f>
        <v>63.98</v>
      </c>
      <c r="C75" s="6">
        <f>((((C70)+(C71))+(C72))+(C73))+(C74)</f>
        <v>1666.6599999999999</v>
      </c>
      <c r="D75" s="6">
        <f t="shared" si="8"/>
        <v>-1602.6799999999998</v>
      </c>
      <c r="E75" s="6">
        <f t="shared" si="9"/>
        <v>63.98</v>
      </c>
      <c r="F75" s="6">
        <f t="shared" si="10"/>
        <v>1666.6599999999999</v>
      </c>
      <c r="G75" s="6">
        <f t="shared" si="11"/>
        <v>-1602.6799999999998</v>
      </c>
    </row>
    <row r="76" spans="1:7" x14ac:dyDescent="0.3">
      <c r="A76" s="3" t="s">
        <v>74</v>
      </c>
      <c r="B76" s="4"/>
      <c r="C76" s="4"/>
      <c r="D76" s="5">
        <f t="shared" si="8"/>
        <v>0</v>
      </c>
      <c r="E76" s="5">
        <f t="shared" si="9"/>
        <v>0</v>
      </c>
      <c r="F76" s="5">
        <f t="shared" si="10"/>
        <v>0</v>
      </c>
      <c r="G76" s="5">
        <f t="shared" si="11"/>
        <v>0</v>
      </c>
    </row>
    <row r="77" spans="1:7" x14ac:dyDescent="0.3">
      <c r="A77" s="3" t="s">
        <v>75</v>
      </c>
      <c r="B77" s="4"/>
      <c r="C77" s="5">
        <f>100</f>
        <v>100</v>
      </c>
      <c r="D77" s="5">
        <f t="shared" si="8"/>
        <v>-100</v>
      </c>
      <c r="E77" s="5">
        <f t="shared" si="9"/>
        <v>0</v>
      </c>
      <c r="F77" s="5">
        <f t="shared" si="10"/>
        <v>100</v>
      </c>
      <c r="G77" s="5">
        <f t="shared" si="11"/>
        <v>-100</v>
      </c>
    </row>
    <row r="78" spans="1:7" x14ac:dyDescent="0.3">
      <c r="A78" s="3" t="s">
        <v>76</v>
      </c>
      <c r="B78" s="5">
        <f>1</f>
        <v>1</v>
      </c>
      <c r="C78" s="5">
        <f>0</f>
        <v>0</v>
      </c>
      <c r="D78" s="5">
        <f t="shared" si="8"/>
        <v>1</v>
      </c>
      <c r="E78" s="5">
        <f t="shared" si="9"/>
        <v>1</v>
      </c>
      <c r="F78" s="5">
        <f t="shared" si="10"/>
        <v>0</v>
      </c>
      <c r="G78" s="5">
        <f t="shared" si="11"/>
        <v>1</v>
      </c>
    </row>
    <row r="79" spans="1:7" x14ac:dyDescent="0.3">
      <c r="A79" s="3" t="s">
        <v>77</v>
      </c>
      <c r="B79" s="4"/>
      <c r="C79" s="5">
        <f>0</f>
        <v>0</v>
      </c>
      <c r="D79" s="5">
        <f t="shared" si="8"/>
        <v>0</v>
      </c>
      <c r="E79" s="5">
        <f t="shared" si="9"/>
        <v>0</v>
      </c>
      <c r="F79" s="5">
        <f t="shared" si="10"/>
        <v>0</v>
      </c>
      <c r="G79" s="5">
        <f t="shared" si="11"/>
        <v>0</v>
      </c>
    </row>
    <row r="80" spans="1:7" x14ac:dyDescent="0.3">
      <c r="A80" s="3" t="s">
        <v>78</v>
      </c>
      <c r="B80" s="6">
        <f>(((B76)+(B77))+(B78))+(B79)</f>
        <v>1</v>
      </c>
      <c r="C80" s="6">
        <f>(((C76)+(C77))+(C78))+(C79)</f>
        <v>100</v>
      </c>
      <c r="D80" s="6">
        <f t="shared" si="8"/>
        <v>-99</v>
      </c>
      <c r="E80" s="6">
        <f t="shared" si="9"/>
        <v>1</v>
      </c>
      <c r="F80" s="6">
        <f t="shared" si="10"/>
        <v>100</v>
      </c>
      <c r="G80" s="6">
        <f t="shared" si="11"/>
        <v>-99</v>
      </c>
    </row>
    <row r="81" spans="1:7" x14ac:dyDescent="0.3">
      <c r="A81" s="3" t="s">
        <v>79</v>
      </c>
      <c r="B81" s="4"/>
      <c r="C81" s="4"/>
      <c r="D81" s="5">
        <f t="shared" si="8"/>
        <v>0</v>
      </c>
      <c r="E81" s="5">
        <f t="shared" si="9"/>
        <v>0</v>
      </c>
      <c r="F81" s="5">
        <f t="shared" si="10"/>
        <v>0</v>
      </c>
      <c r="G81" s="5">
        <f t="shared" si="11"/>
        <v>0</v>
      </c>
    </row>
    <row r="82" spans="1:7" x14ac:dyDescent="0.3">
      <c r="A82" s="3" t="s">
        <v>80</v>
      </c>
      <c r="B82" s="5">
        <f>3360</f>
        <v>3360</v>
      </c>
      <c r="C82" s="5">
        <f>3767.42</f>
        <v>3767.42</v>
      </c>
      <c r="D82" s="5">
        <f t="shared" si="8"/>
        <v>-407.42000000000007</v>
      </c>
      <c r="E82" s="5">
        <f t="shared" si="9"/>
        <v>3360</v>
      </c>
      <c r="F82" s="5">
        <f t="shared" si="10"/>
        <v>3767.42</v>
      </c>
      <c r="G82" s="5">
        <f t="shared" si="11"/>
        <v>-407.42000000000007</v>
      </c>
    </row>
    <row r="83" spans="1:7" x14ac:dyDescent="0.3">
      <c r="A83" s="3" t="s">
        <v>81</v>
      </c>
      <c r="B83" s="5">
        <f>257.04</f>
        <v>257.04000000000002</v>
      </c>
      <c r="C83" s="5">
        <f>288.17</f>
        <v>288.17</v>
      </c>
      <c r="D83" s="5">
        <f t="shared" si="8"/>
        <v>-31.129999999999995</v>
      </c>
      <c r="E83" s="5">
        <f t="shared" si="9"/>
        <v>257.04000000000002</v>
      </c>
      <c r="F83" s="5">
        <f t="shared" si="10"/>
        <v>288.17</v>
      </c>
      <c r="G83" s="5">
        <f t="shared" si="11"/>
        <v>-31.129999999999995</v>
      </c>
    </row>
    <row r="84" spans="1:7" x14ac:dyDescent="0.3">
      <c r="A84" s="3" t="s">
        <v>82</v>
      </c>
      <c r="B84" s="5">
        <f>97.94</f>
        <v>97.94</v>
      </c>
      <c r="C84" s="5">
        <f>83.33</f>
        <v>83.33</v>
      </c>
      <c r="D84" s="5">
        <f t="shared" si="8"/>
        <v>14.61</v>
      </c>
      <c r="E84" s="5">
        <f t="shared" si="9"/>
        <v>97.94</v>
      </c>
      <c r="F84" s="5">
        <f t="shared" si="10"/>
        <v>83.33</v>
      </c>
      <c r="G84" s="5">
        <f t="shared" si="11"/>
        <v>14.61</v>
      </c>
    </row>
    <row r="85" spans="1:7" x14ac:dyDescent="0.3">
      <c r="A85" s="3" t="s">
        <v>83</v>
      </c>
      <c r="B85" s="5">
        <f>247.8</f>
        <v>247.8</v>
      </c>
      <c r="C85" s="5">
        <f>258.33</f>
        <v>258.33</v>
      </c>
      <c r="D85" s="5">
        <f t="shared" si="8"/>
        <v>-10.529999999999973</v>
      </c>
      <c r="E85" s="5">
        <f t="shared" si="9"/>
        <v>247.8</v>
      </c>
      <c r="F85" s="5">
        <f t="shared" si="10"/>
        <v>258.33</v>
      </c>
      <c r="G85" s="5">
        <f t="shared" si="11"/>
        <v>-10.529999999999973</v>
      </c>
    </row>
    <row r="86" spans="1:7" x14ac:dyDescent="0.3">
      <c r="A86" s="3" t="s">
        <v>84</v>
      </c>
      <c r="B86" s="5">
        <f>36.97</f>
        <v>36.97</v>
      </c>
      <c r="C86" s="5">
        <f>116.67</f>
        <v>116.67</v>
      </c>
      <c r="D86" s="5">
        <f t="shared" si="8"/>
        <v>-79.7</v>
      </c>
      <c r="E86" s="5">
        <f t="shared" si="9"/>
        <v>36.97</v>
      </c>
      <c r="F86" s="5">
        <f t="shared" si="10"/>
        <v>116.67</v>
      </c>
      <c r="G86" s="5">
        <f t="shared" si="11"/>
        <v>-79.7</v>
      </c>
    </row>
    <row r="87" spans="1:7" x14ac:dyDescent="0.3">
      <c r="A87" s="3" t="s">
        <v>85</v>
      </c>
      <c r="B87" s="4"/>
      <c r="C87" s="4"/>
      <c r="D87" s="5">
        <f t="shared" si="8"/>
        <v>0</v>
      </c>
      <c r="E87" s="5">
        <f t="shared" si="9"/>
        <v>0</v>
      </c>
      <c r="F87" s="5">
        <f t="shared" si="10"/>
        <v>0</v>
      </c>
      <c r="G87" s="5">
        <f t="shared" si="11"/>
        <v>0</v>
      </c>
    </row>
    <row r="88" spans="1:7" x14ac:dyDescent="0.3">
      <c r="A88" s="3" t="s">
        <v>86</v>
      </c>
      <c r="B88" s="4"/>
      <c r="C88" s="5">
        <f>166.67</f>
        <v>166.67</v>
      </c>
      <c r="D88" s="5">
        <f t="shared" si="8"/>
        <v>-166.67</v>
      </c>
      <c r="E88" s="5">
        <f t="shared" si="9"/>
        <v>0</v>
      </c>
      <c r="F88" s="5">
        <f t="shared" si="10"/>
        <v>166.67</v>
      </c>
      <c r="G88" s="5">
        <f t="shared" si="11"/>
        <v>-166.67</v>
      </c>
    </row>
    <row r="89" spans="1:7" x14ac:dyDescent="0.3">
      <c r="A89" s="3" t="s">
        <v>87</v>
      </c>
      <c r="B89" s="4"/>
      <c r="C89" s="5">
        <f>166.67</f>
        <v>166.67</v>
      </c>
      <c r="D89" s="5">
        <f t="shared" si="8"/>
        <v>-166.67</v>
      </c>
      <c r="E89" s="5">
        <f t="shared" si="9"/>
        <v>0</v>
      </c>
      <c r="F89" s="5">
        <f t="shared" si="10"/>
        <v>166.67</v>
      </c>
      <c r="G89" s="5">
        <f t="shared" si="11"/>
        <v>-166.67</v>
      </c>
    </row>
    <row r="90" spans="1:7" x14ac:dyDescent="0.3">
      <c r="A90" s="3" t="s">
        <v>88</v>
      </c>
      <c r="B90" s="4"/>
      <c r="C90" s="5">
        <f>0</f>
        <v>0</v>
      </c>
      <c r="D90" s="5">
        <f t="shared" ref="D90:D121" si="12">(B90)-(C90)</f>
        <v>0</v>
      </c>
      <c r="E90" s="5">
        <f t="shared" ref="E90:E124" si="13">B90</f>
        <v>0</v>
      </c>
      <c r="F90" s="5">
        <f t="shared" ref="F90:F124" si="14">C90</f>
        <v>0</v>
      </c>
      <c r="G90" s="5">
        <f t="shared" ref="G90:G121" si="15">(E90)-(F90)</f>
        <v>0</v>
      </c>
    </row>
    <row r="91" spans="1:7" x14ac:dyDescent="0.3">
      <c r="A91" s="3" t="s">
        <v>89</v>
      </c>
      <c r="B91" s="6">
        <f>(((B87)+(B88))+(B89))+(B90)</f>
        <v>0</v>
      </c>
      <c r="C91" s="6">
        <f>(((C87)+(C88))+(C89))+(C90)</f>
        <v>333.34</v>
      </c>
      <c r="D91" s="6">
        <f t="shared" si="12"/>
        <v>-333.34</v>
      </c>
      <c r="E91" s="6">
        <f t="shared" si="13"/>
        <v>0</v>
      </c>
      <c r="F91" s="6">
        <f t="shared" si="14"/>
        <v>333.34</v>
      </c>
      <c r="G91" s="6">
        <f t="shared" si="15"/>
        <v>-333.34</v>
      </c>
    </row>
    <row r="92" spans="1:7" x14ac:dyDescent="0.3">
      <c r="A92" s="3" t="s">
        <v>90</v>
      </c>
      <c r="B92" s="5">
        <f>477.17</f>
        <v>477.17</v>
      </c>
      <c r="C92" s="5">
        <f>470.83</f>
        <v>470.83</v>
      </c>
      <c r="D92" s="5">
        <f t="shared" si="12"/>
        <v>6.3400000000000318</v>
      </c>
      <c r="E92" s="5">
        <f t="shared" si="13"/>
        <v>477.17</v>
      </c>
      <c r="F92" s="5">
        <f t="shared" si="14"/>
        <v>470.83</v>
      </c>
      <c r="G92" s="5">
        <f t="shared" si="15"/>
        <v>6.3400000000000318</v>
      </c>
    </row>
    <row r="93" spans="1:7" x14ac:dyDescent="0.3">
      <c r="A93" s="3" t="s">
        <v>91</v>
      </c>
      <c r="B93" s="4"/>
      <c r="C93" s="5">
        <f>83.33</f>
        <v>83.33</v>
      </c>
      <c r="D93" s="5">
        <f t="shared" si="12"/>
        <v>-83.33</v>
      </c>
      <c r="E93" s="5">
        <f t="shared" si="13"/>
        <v>0</v>
      </c>
      <c r="F93" s="5">
        <f t="shared" si="14"/>
        <v>83.33</v>
      </c>
      <c r="G93" s="5">
        <f t="shared" si="15"/>
        <v>-83.33</v>
      </c>
    </row>
    <row r="94" spans="1:7" x14ac:dyDescent="0.3">
      <c r="A94" s="3" t="s">
        <v>92</v>
      </c>
      <c r="B94" s="6">
        <f>((((((((B81)+(B82))+(B83))+(B84))+(B85))+(B86))+(B91))+(B92))+(B93)</f>
        <v>4476.92</v>
      </c>
      <c r="C94" s="6">
        <f>((((((((C81)+(C82))+(C83))+(C84))+(C85))+(C86))+(C91))+(C92))+(C93)</f>
        <v>5401.42</v>
      </c>
      <c r="D94" s="6">
        <f t="shared" si="12"/>
        <v>-924.5</v>
      </c>
      <c r="E94" s="6">
        <f t="shared" si="13"/>
        <v>4476.92</v>
      </c>
      <c r="F94" s="6">
        <f t="shared" si="14"/>
        <v>5401.42</v>
      </c>
      <c r="G94" s="6">
        <f t="shared" si="15"/>
        <v>-924.5</v>
      </c>
    </row>
    <row r="95" spans="1:7" x14ac:dyDescent="0.3">
      <c r="A95" s="3" t="s">
        <v>93</v>
      </c>
      <c r="B95" s="4"/>
      <c r="C95" s="4"/>
      <c r="D95" s="5">
        <f t="shared" si="12"/>
        <v>0</v>
      </c>
      <c r="E95" s="5">
        <f t="shared" si="13"/>
        <v>0</v>
      </c>
      <c r="F95" s="5">
        <f t="shared" si="14"/>
        <v>0</v>
      </c>
      <c r="G95" s="5">
        <f t="shared" si="15"/>
        <v>0</v>
      </c>
    </row>
    <row r="96" spans="1:7" x14ac:dyDescent="0.3">
      <c r="A96" s="3" t="s">
        <v>94</v>
      </c>
      <c r="B96" s="5">
        <f>2354.16</f>
        <v>2354.16</v>
      </c>
      <c r="C96" s="5">
        <f>2550.33</f>
        <v>2550.33</v>
      </c>
      <c r="D96" s="5">
        <f t="shared" si="12"/>
        <v>-196.17000000000007</v>
      </c>
      <c r="E96" s="5">
        <f t="shared" si="13"/>
        <v>2354.16</v>
      </c>
      <c r="F96" s="5">
        <f t="shared" si="14"/>
        <v>2550.33</v>
      </c>
      <c r="G96" s="5">
        <f t="shared" si="15"/>
        <v>-196.17000000000007</v>
      </c>
    </row>
    <row r="97" spans="1:7" x14ac:dyDescent="0.3">
      <c r="A97" s="3" t="s">
        <v>95</v>
      </c>
      <c r="B97" s="5">
        <f>161.35</f>
        <v>161.35</v>
      </c>
      <c r="C97" s="5">
        <f>195.08</f>
        <v>195.08</v>
      </c>
      <c r="D97" s="5">
        <f t="shared" si="12"/>
        <v>-33.730000000000018</v>
      </c>
      <c r="E97" s="5">
        <f t="shared" si="13"/>
        <v>161.35</v>
      </c>
      <c r="F97" s="5">
        <f t="shared" si="14"/>
        <v>195.08</v>
      </c>
      <c r="G97" s="5">
        <f t="shared" si="15"/>
        <v>-33.730000000000018</v>
      </c>
    </row>
    <row r="98" spans="1:7" x14ac:dyDescent="0.3">
      <c r="A98" s="3" t="s">
        <v>96</v>
      </c>
      <c r="B98" s="5">
        <f>1197.05</f>
        <v>1197.05</v>
      </c>
      <c r="C98" s="5">
        <f>525</f>
        <v>525</v>
      </c>
      <c r="D98" s="5">
        <f t="shared" si="12"/>
        <v>672.05</v>
      </c>
      <c r="E98" s="5">
        <f t="shared" si="13"/>
        <v>1197.05</v>
      </c>
      <c r="F98" s="5">
        <f t="shared" si="14"/>
        <v>525</v>
      </c>
      <c r="G98" s="5">
        <f t="shared" si="15"/>
        <v>672.05</v>
      </c>
    </row>
    <row r="99" spans="1:7" x14ac:dyDescent="0.3">
      <c r="A99" s="3" t="s">
        <v>97</v>
      </c>
      <c r="B99" s="4"/>
      <c r="C99" s="4"/>
      <c r="D99" s="5">
        <f t="shared" si="12"/>
        <v>0</v>
      </c>
      <c r="E99" s="5">
        <f t="shared" si="13"/>
        <v>0</v>
      </c>
      <c r="F99" s="5">
        <f t="shared" si="14"/>
        <v>0</v>
      </c>
      <c r="G99" s="5">
        <f t="shared" si="15"/>
        <v>0</v>
      </c>
    </row>
    <row r="100" spans="1:7" x14ac:dyDescent="0.3">
      <c r="A100" s="3" t="s">
        <v>98</v>
      </c>
      <c r="B100" s="5">
        <f>170</f>
        <v>170</v>
      </c>
      <c r="C100" s="5">
        <f>170</f>
        <v>170</v>
      </c>
      <c r="D100" s="5">
        <f t="shared" si="12"/>
        <v>0</v>
      </c>
      <c r="E100" s="5">
        <f t="shared" si="13"/>
        <v>170</v>
      </c>
      <c r="F100" s="5">
        <f t="shared" si="14"/>
        <v>170</v>
      </c>
      <c r="G100" s="5">
        <f t="shared" si="15"/>
        <v>0</v>
      </c>
    </row>
    <row r="101" spans="1:7" x14ac:dyDescent="0.3">
      <c r="A101" s="3" t="s">
        <v>99</v>
      </c>
      <c r="B101" s="4"/>
      <c r="C101" s="5">
        <f>0</f>
        <v>0</v>
      </c>
      <c r="D101" s="5">
        <f t="shared" si="12"/>
        <v>0</v>
      </c>
      <c r="E101" s="5">
        <f t="shared" si="13"/>
        <v>0</v>
      </c>
      <c r="F101" s="5">
        <f t="shared" si="14"/>
        <v>0</v>
      </c>
      <c r="G101" s="5">
        <f t="shared" si="15"/>
        <v>0</v>
      </c>
    </row>
    <row r="102" spans="1:7" x14ac:dyDescent="0.3">
      <c r="A102" s="3" t="s">
        <v>100</v>
      </c>
      <c r="B102" s="5">
        <f>3475</f>
        <v>3475</v>
      </c>
      <c r="C102" s="5">
        <f>3000</f>
        <v>3000</v>
      </c>
      <c r="D102" s="5">
        <f t="shared" si="12"/>
        <v>475</v>
      </c>
      <c r="E102" s="5">
        <f t="shared" si="13"/>
        <v>3475</v>
      </c>
      <c r="F102" s="5">
        <f t="shared" si="14"/>
        <v>3000</v>
      </c>
      <c r="G102" s="5">
        <f t="shared" si="15"/>
        <v>475</v>
      </c>
    </row>
    <row r="103" spans="1:7" x14ac:dyDescent="0.3">
      <c r="A103" s="3" t="s">
        <v>101</v>
      </c>
      <c r="B103" s="5">
        <f>202.09</f>
        <v>202.09</v>
      </c>
      <c r="C103" s="5">
        <f>202</f>
        <v>202</v>
      </c>
      <c r="D103" s="5">
        <f t="shared" si="12"/>
        <v>9.0000000000003411E-2</v>
      </c>
      <c r="E103" s="5">
        <f t="shared" si="13"/>
        <v>202.09</v>
      </c>
      <c r="F103" s="5">
        <f t="shared" si="14"/>
        <v>202</v>
      </c>
      <c r="G103" s="5">
        <f t="shared" si="15"/>
        <v>9.0000000000003411E-2</v>
      </c>
    </row>
    <row r="104" spans="1:7" x14ac:dyDescent="0.3">
      <c r="A104" s="3" t="s">
        <v>102</v>
      </c>
      <c r="B104" s="4"/>
      <c r="C104" s="5">
        <f>148.83</f>
        <v>148.83000000000001</v>
      </c>
      <c r="D104" s="5">
        <f t="shared" si="12"/>
        <v>-148.83000000000001</v>
      </c>
      <c r="E104" s="5">
        <f t="shared" si="13"/>
        <v>0</v>
      </c>
      <c r="F104" s="5">
        <f t="shared" si="14"/>
        <v>148.83000000000001</v>
      </c>
      <c r="G104" s="5">
        <f t="shared" si="15"/>
        <v>-148.83000000000001</v>
      </c>
    </row>
    <row r="105" spans="1:7" x14ac:dyDescent="0.3">
      <c r="A105" s="3" t="s">
        <v>103</v>
      </c>
      <c r="B105" s="6">
        <f>(((((B99)+(B100))+(B101))+(B102))+(B103))+(B104)</f>
        <v>3847.09</v>
      </c>
      <c r="C105" s="6">
        <f>(((((C99)+(C100))+(C101))+(C102))+(C103))+(C104)</f>
        <v>3520.83</v>
      </c>
      <c r="D105" s="6">
        <f t="shared" si="12"/>
        <v>326.26000000000022</v>
      </c>
      <c r="E105" s="6">
        <f t="shared" si="13"/>
        <v>3847.09</v>
      </c>
      <c r="F105" s="6">
        <f t="shared" si="14"/>
        <v>3520.83</v>
      </c>
      <c r="G105" s="6">
        <f t="shared" si="15"/>
        <v>326.26000000000022</v>
      </c>
    </row>
    <row r="106" spans="1:7" x14ac:dyDescent="0.3">
      <c r="A106" s="3" t="s">
        <v>104</v>
      </c>
      <c r="B106" s="4"/>
      <c r="C106" s="4"/>
      <c r="D106" s="5">
        <f t="shared" si="12"/>
        <v>0</v>
      </c>
      <c r="E106" s="5">
        <f t="shared" si="13"/>
        <v>0</v>
      </c>
      <c r="F106" s="5">
        <f t="shared" si="14"/>
        <v>0</v>
      </c>
      <c r="G106" s="5">
        <f t="shared" si="15"/>
        <v>0</v>
      </c>
    </row>
    <row r="107" spans="1:7" x14ac:dyDescent="0.3">
      <c r="A107" s="3" t="s">
        <v>105</v>
      </c>
      <c r="B107" s="5">
        <f>3540.59</f>
        <v>3540.59</v>
      </c>
      <c r="C107" s="5">
        <f>1833.33</f>
        <v>1833.33</v>
      </c>
      <c r="D107" s="5">
        <f t="shared" si="12"/>
        <v>1707.2600000000002</v>
      </c>
      <c r="E107" s="5">
        <f t="shared" si="13"/>
        <v>3540.59</v>
      </c>
      <c r="F107" s="5">
        <f t="shared" si="14"/>
        <v>1833.33</v>
      </c>
      <c r="G107" s="5">
        <f t="shared" si="15"/>
        <v>1707.2600000000002</v>
      </c>
    </row>
    <row r="108" spans="1:7" x14ac:dyDescent="0.3">
      <c r="A108" s="3" t="s">
        <v>106</v>
      </c>
      <c r="B108" s="5">
        <f>284.39</f>
        <v>284.39</v>
      </c>
      <c r="C108" s="5">
        <f>416.67</f>
        <v>416.67</v>
      </c>
      <c r="D108" s="5">
        <f t="shared" si="12"/>
        <v>-132.28000000000003</v>
      </c>
      <c r="E108" s="5">
        <f t="shared" si="13"/>
        <v>284.39</v>
      </c>
      <c r="F108" s="5">
        <f t="shared" si="14"/>
        <v>416.67</v>
      </c>
      <c r="G108" s="5">
        <f t="shared" si="15"/>
        <v>-132.28000000000003</v>
      </c>
    </row>
    <row r="109" spans="1:7" x14ac:dyDescent="0.3">
      <c r="A109" s="3" t="s">
        <v>107</v>
      </c>
      <c r="B109" s="6">
        <f>((B106)+(B107))+(B108)</f>
        <v>3824.98</v>
      </c>
      <c r="C109" s="6">
        <f>((C106)+(C107))+(C108)</f>
        <v>2250</v>
      </c>
      <c r="D109" s="6">
        <f t="shared" si="12"/>
        <v>1574.98</v>
      </c>
      <c r="E109" s="6">
        <f t="shared" si="13"/>
        <v>3824.98</v>
      </c>
      <c r="F109" s="6">
        <f t="shared" si="14"/>
        <v>2250</v>
      </c>
      <c r="G109" s="6">
        <f t="shared" si="15"/>
        <v>1574.98</v>
      </c>
    </row>
    <row r="110" spans="1:7" x14ac:dyDescent="0.3">
      <c r="A110" s="3" t="s">
        <v>108</v>
      </c>
      <c r="B110" s="4"/>
      <c r="C110" s="5">
        <f>1250</f>
        <v>1250</v>
      </c>
      <c r="D110" s="5">
        <f t="shared" si="12"/>
        <v>-1250</v>
      </c>
      <c r="E110" s="5">
        <f t="shared" si="13"/>
        <v>0</v>
      </c>
      <c r="F110" s="5">
        <f t="shared" si="14"/>
        <v>1250</v>
      </c>
      <c r="G110" s="5">
        <f t="shared" si="15"/>
        <v>-1250</v>
      </c>
    </row>
    <row r="111" spans="1:7" x14ac:dyDescent="0.3">
      <c r="A111" s="3" t="s">
        <v>109</v>
      </c>
      <c r="B111" s="5">
        <f>475.16</f>
        <v>475.16</v>
      </c>
      <c r="C111" s="5">
        <f>375</f>
        <v>375</v>
      </c>
      <c r="D111" s="5">
        <f t="shared" si="12"/>
        <v>100.16000000000003</v>
      </c>
      <c r="E111" s="5">
        <f t="shared" si="13"/>
        <v>475.16</v>
      </c>
      <c r="F111" s="5">
        <f t="shared" si="14"/>
        <v>375</v>
      </c>
      <c r="G111" s="5">
        <f t="shared" si="15"/>
        <v>100.16000000000003</v>
      </c>
    </row>
    <row r="112" spans="1:7" x14ac:dyDescent="0.3">
      <c r="A112" s="3" t="s">
        <v>110</v>
      </c>
      <c r="B112" s="6">
        <f>(((((((B95)+(B96))+(B97))+(B98))+(B105))+(B109))+(B110))+(B111)</f>
        <v>11859.789999999999</v>
      </c>
      <c r="C112" s="6">
        <f>(((((((C95)+(C96))+(C97))+(C98))+(C105))+(C109))+(C110))+(C111)</f>
        <v>10666.24</v>
      </c>
      <c r="D112" s="6">
        <f t="shared" si="12"/>
        <v>1193.5499999999993</v>
      </c>
      <c r="E112" s="6">
        <f t="shared" si="13"/>
        <v>11859.789999999999</v>
      </c>
      <c r="F112" s="6">
        <f t="shared" si="14"/>
        <v>10666.24</v>
      </c>
      <c r="G112" s="6">
        <f t="shared" si="15"/>
        <v>1193.5499999999993</v>
      </c>
    </row>
    <row r="113" spans="1:7" x14ac:dyDescent="0.3">
      <c r="A113" s="3" t="s">
        <v>111</v>
      </c>
      <c r="B113" s="4"/>
      <c r="C113" s="4"/>
      <c r="D113" s="5">
        <f t="shared" si="12"/>
        <v>0</v>
      </c>
      <c r="E113" s="5">
        <f t="shared" si="13"/>
        <v>0</v>
      </c>
      <c r="F113" s="5">
        <f t="shared" si="14"/>
        <v>0</v>
      </c>
      <c r="G113" s="5">
        <f t="shared" si="15"/>
        <v>0</v>
      </c>
    </row>
    <row r="114" spans="1:7" x14ac:dyDescent="0.3">
      <c r="A114" s="3" t="s">
        <v>112</v>
      </c>
      <c r="B114" s="5">
        <f>829.86</f>
        <v>829.86</v>
      </c>
      <c r="C114" s="5">
        <f>812</f>
        <v>812</v>
      </c>
      <c r="D114" s="5">
        <f t="shared" si="12"/>
        <v>17.860000000000014</v>
      </c>
      <c r="E114" s="5">
        <f t="shared" si="13"/>
        <v>829.86</v>
      </c>
      <c r="F114" s="5">
        <f t="shared" si="14"/>
        <v>812</v>
      </c>
      <c r="G114" s="5">
        <f t="shared" si="15"/>
        <v>17.860000000000014</v>
      </c>
    </row>
    <row r="115" spans="1:7" x14ac:dyDescent="0.3">
      <c r="A115" s="3" t="s">
        <v>113</v>
      </c>
      <c r="B115" s="4"/>
      <c r="C115" s="5">
        <f>0</f>
        <v>0</v>
      </c>
      <c r="D115" s="5">
        <f t="shared" si="12"/>
        <v>0</v>
      </c>
      <c r="E115" s="5">
        <f t="shared" si="13"/>
        <v>0</v>
      </c>
      <c r="F115" s="5">
        <f t="shared" si="14"/>
        <v>0</v>
      </c>
      <c r="G115" s="5">
        <f t="shared" si="15"/>
        <v>0</v>
      </c>
    </row>
    <row r="116" spans="1:7" x14ac:dyDescent="0.3">
      <c r="A116" s="3" t="s">
        <v>114</v>
      </c>
      <c r="B116" s="5">
        <f>165</f>
        <v>165</v>
      </c>
      <c r="C116" s="5">
        <f>233.33</f>
        <v>233.33</v>
      </c>
      <c r="D116" s="5">
        <f t="shared" si="12"/>
        <v>-68.330000000000013</v>
      </c>
      <c r="E116" s="5">
        <f t="shared" si="13"/>
        <v>165</v>
      </c>
      <c r="F116" s="5">
        <f t="shared" si="14"/>
        <v>233.33</v>
      </c>
      <c r="G116" s="5">
        <f t="shared" si="15"/>
        <v>-68.330000000000013</v>
      </c>
    </row>
    <row r="117" spans="1:7" x14ac:dyDescent="0.3">
      <c r="A117" s="3" t="s">
        <v>115</v>
      </c>
      <c r="B117" s="6">
        <f>(((B113)+(B114))+(B115))+(B116)</f>
        <v>994.86</v>
      </c>
      <c r="C117" s="6">
        <f>(((C113)+(C114))+(C115))+(C116)</f>
        <v>1045.33</v>
      </c>
      <c r="D117" s="6">
        <f t="shared" si="12"/>
        <v>-50.469999999999914</v>
      </c>
      <c r="E117" s="6">
        <f t="shared" si="13"/>
        <v>994.86</v>
      </c>
      <c r="F117" s="6">
        <f t="shared" si="14"/>
        <v>1045.33</v>
      </c>
      <c r="G117" s="6">
        <f t="shared" si="15"/>
        <v>-50.469999999999914</v>
      </c>
    </row>
    <row r="118" spans="1:7" x14ac:dyDescent="0.3">
      <c r="A118" s="3" t="s">
        <v>116</v>
      </c>
      <c r="B118" s="4"/>
      <c r="C118" s="4"/>
      <c r="D118" s="5">
        <f t="shared" si="12"/>
        <v>0</v>
      </c>
      <c r="E118" s="5">
        <f t="shared" si="13"/>
        <v>0</v>
      </c>
      <c r="F118" s="5">
        <f t="shared" si="14"/>
        <v>0</v>
      </c>
      <c r="G118" s="5">
        <f t="shared" si="15"/>
        <v>0</v>
      </c>
    </row>
    <row r="119" spans="1:7" x14ac:dyDescent="0.3">
      <c r="A119" s="3" t="s">
        <v>117</v>
      </c>
      <c r="B119" s="4"/>
      <c r="C119" s="5">
        <f>20.83</f>
        <v>20.83</v>
      </c>
      <c r="D119" s="5">
        <f t="shared" si="12"/>
        <v>-20.83</v>
      </c>
      <c r="E119" s="5">
        <f t="shared" si="13"/>
        <v>0</v>
      </c>
      <c r="F119" s="5">
        <f t="shared" si="14"/>
        <v>20.83</v>
      </c>
      <c r="G119" s="5">
        <f t="shared" si="15"/>
        <v>-20.83</v>
      </c>
    </row>
    <row r="120" spans="1:7" x14ac:dyDescent="0.3">
      <c r="A120" s="3" t="s">
        <v>118</v>
      </c>
      <c r="B120" s="5">
        <f>229.24</f>
        <v>229.24</v>
      </c>
      <c r="C120" s="5">
        <f>225</f>
        <v>225</v>
      </c>
      <c r="D120" s="5">
        <f t="shared" si="12"/>
        <v>4.2400000000000091</v>
      </c>
      <c r="E120" s="5">
        <f t="shared" si="13"/>
        <v>229.24</v>
      </c>
      <c r="F120" s="5">
        <f t="shared" si="14"/>
        <v>225</v>
      </c>
      <c r="G120" s="5">
        <f t="shared" si="15"/>
        <v>4.2400000000000091</v>
      </c>
    </row>
    <row r="121" spans="1:7" x14ac:dyDescent="0.3">
      <c r="A121" s="3" t="s">
        <v>119</v>
      </c>
      <c r="B121" s="6">
        <f>((B118)+(B119))+(B120)</f>
        <v>229.24</v>
      </c>
      <c r="C121" s="6">
        <f>((C118)+(C119))+(C120)</f>
        <v>245.82999999999998</v>
      </c>
      <c r="D121" s="6">
        <f t="shared" si="12"/>
        <v>-16.589999999999975</v>
      </c>
      <c r="E121" s="6">
        <f t="shared" si="13"/>
        <v>229.24</v>
      </c>
      <c r="F121" s="6">
        <f t="shared" si="14"/>
        <v>245.82999999999998</v>
      </c>
      <c r="G121" s="6">
        <f t="shared" si="15"/>
        <v>-16.589999999999975</v>
      </c>
    </row>
    <row r="122" spans="1:7" x14ac:dyDescent="0.3">
      <c r="A122" s="3" t="s">
        <v>120</v>
      </c>
      <c r="B122" s="6">
        <f>(((((((((B34)+(B44))+(B52))+(B69))+(B75))+(B80))+(B94))+(B112))+(B117))+(B121)</f>
        <v>37271.06</v>
      </c>
      <c r="C122" s="6">
        <f>(((((((((C34)+(C44))+(C52))+(C69))+(C75))+(C80))+(C94))+(C112))+(C117))+(C121)</f>
        <v>40434.9</v>
      </c>
      <c r="D122" s="6">
        <f t="shared" ref="D122:D153" si="16">(B122)-(C122)</f>
        <v>-3163.8400000000038</v>
      </c>
      <c r="E122" s="6">
        <f t="shared" si="13"/>
        <v>37271.06</v>
      </c>
      <c r="F122" s="6">
        <f t="shared" si="14"/>
        <v>40434.9</v>
      </c>
      <c r="G122" s="6">
        <f t="shared" ref="G122:G153" si="17">(E122)-(F122)</f>
        <v>-3163.8400000000038</v>
      </c>
    </row>
    <row r="123" spans="1:7" x14ac:dyDescent="0.3">
      <c r="A123" s="3" t="s">
        <v>121</v>
      </c>
      <c r="B123" s="6">
        <f>(B24)-(B122)</f>
        <v>13799.730000000003</v>
      </c>
      <c r="C123" s="6">
        <f>(C24)-(C122)</f>
        <v>4630.18</v>
      </c>
      <c r="D123" s="6">
        <f t="shared" si="16"/>
        <v>9169.5500000000029</v>
      </c>
      <c r="E123" s="6">
        <f t="shared" si="13"/>
        <v>13799.730000000003</v>
      </c>
      <c r="F123" s="6">
        <f t="shared" si="14"/>
        <v>4630.18</v>
      </c>
      <c r="G123" s="6">
        <f t="shared" si="17"/>
        <v>9169.5500000000029</v>
      </c>
    </row>
    <row r="124" spans="1:7" x14ac:dyDescent="0.3">
      <c r="A124" s="3" t="s">
        <v>122</v>
      </c>
      <c r="B124" s="7">
        <f>(B123)+(0)</f>
        <v>13799.730000000003</v>
      </c>
      <c r="C124" s="7">
        <f>(C123)+(0)</f>
        <v>4630.18</v>
      </c>
      <c r="D124" s="7">
        <f t="shared" si="16"/>
        <v>9169.5500000000029</v>
      </c>
      <c r="E124" s="7">
        <f t="shared" si="13"/>
        <v>13799.730000000003</v>
      </c>
      <c r="F124" s="7">
        <f t="shared" si="14"/>
        <v>4630.18</v>
      </c>
      <c r="G124" s="7">
        <f t="shared" si="17"/>
        <v>9169.5500000000029</v>
      </c>
    </row>
    <row r="125" spans="1:7" x14ac:dyDescent="0.3">
      <c r="A125" s="3"/>
      <c r="B125" s="4"/>
      <c r="C125" s="4"/>
      <c r="D125" s="4"/>
      <c r="E125" s="4"/>
      <c r="F125" s="4"/>
      <c r="G125" s="4"/>
    </row>
    <row r="128" spans="1:7" x14ac:dyDescent="0.3">
      <c r="A128" s="10" t="s">
        <v>123</v>
      </c>
      <c r="B128" s="11"/>
      <c r="C128" s="11"/>
      <c r="D128" s="11"/>
      <c r="E128" s="11"/>
      <c r="F128" s="11"/>
      <c r="G128" s="11"/>
    </row>
  </sheetData>
  <mergeCells count="6">
    <mergeCell ref="B5:D5"/>
    <mergeCell ref="E5:G5"/>
    <mergeCell ref="A128:G128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Jonat</cp:lastModifiedBy>
  <dcterms:created xsi:type="dcterms:W3CDTF">2025-02-07T14:08:59Z</dcterms:created>
  <dcterms:modified xsi:type="dcterms:W3CDTF">2025-02-07T14:10:30Z</dcterms:modified>
</cp:coreProperties>
</file>