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73537de1dda2547/Documents/GSLC stuff/Financial Reports/"/>
    </mc:Choice>
  </mc:AlternateContent>
  <xr:revisionPtr revIDLastSave="0" documentId="8_{6554CE6D-516F-4312-8E0E-F8731C0DDDAD}" xr6:coauthVersionLast="47" xr6:coauthVersionMax="47" xr10:uidLastSave="{00000000-0000-0000-0000-000000000000}"/>
  <bookViews>
    <workbookView xWindow="0" yWindow="720" windowWidth="23040" windowHeight="12240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5" i="1" l="1"/>
  <c r="H125" i="1"/>
  <c r="B125" i="1"/>
  <c r="Q124" i="1"/>
  <c r="O124" i="1"/>
  <c r="N124" i="1"/>
  <c r="N125" i="1" s="1"/>
  <c r="P125" i="1" s="1"/>
  <c r="L124" i="1"/>
  <c r="K124" i="1"/>
  <c r="K125" i="1" s="1"/>
  <c r="M125" i="1" s="1"/>
  <c r="I124" i="1"/>
  <c r="J124" i="1" s="1"/>
  <c r="H124" i="1"/>
  <c r="F124" i="1"/>
  <c r="G124" i="1" s="1"/>
  <c r="E124" i="1"/>
  <c r="E125" i="1" s="1"/>
  <c r="C124" i="1"/>
  <c r="R124" i="1" s="1"/>
  <c r="B124" i="1"/>
  <c r="Q123" i="1"/>
  <c r="S123" i="1" s="1"/>
  <c r="P123" i="1"/>
  <c r="O123" i="1"/>
  <c r="L123" i="1"/>
  <c r="L125" i="1" s="1"/>
  <c r="I123" i="1"/>
  <c r="I125" i="1" s="1"/>
  <c r="J125" i="1" s="1"/>
  <c r="F123" i="1"/>
  <c r="D123" i="1"/>
  <c r="C123" i="1"/>
  <c r="R123" i="1" s="1"/>
  <c r="R122" i="1"/>
  <c r="S122" i="1" s="1"/>
  <c r="Q122" i="1"/>
  <c r="P122" i="1"/>
  <c r="M122" i="1"/>
  <c r="J122" i="1"/>
  <c r="G122" i="1"/>
  <c r="D122" i="1"/>
  <c r="O121" i="1"/>
  <c r="N121" i="1"/>
  <c r="P121" i="1" s="1"/>
  <c r="G121" i="1"/>
  <c r="F121" i="1"/>
  <c r="P120" i="1"/>
  <c r="O120" i="1"/>
  <c r="N120" i="1"/>
  <c r="L120" i="1"/>
  <c r="M120" i="1" s="1"/>
  <c r="K120" i="1"/>
  <c r="I120" i="1"/>
  <c r="R120" i="1" s="1"/>
  <c r="H120" i="1"/>
  <c r="Q120" i="1" s="1"/>
  <c r="S120" i="1" s="1"/>
  <c r="F120" i="1"/>
  <c r="E120" i="1"/>
  <c r="G120" i="1" s="1"/>
  <c r="C120" i="1"/>
  <c r="B120" i="1"/>
  <c r="D120" i="1" s="1"/>
  <c r="S119" i="1"/>
  <c r="R119" i="1"/>
  <c r="O119" i="1"/>
  <c r="N119" i="1"/>
  <c r="P119" i="1" s="1"/>
  <c r="L119" i="1"/>
  <c r="M119" i="1" s="1"/>
  <c r="J119" i="1"/>
  <c r="I119" i="1"/>
  <c r="H119" i="1"/>
  <c r="Q119" i="1" s="1"/>
  <c r="F119" i="1"/>
  <c r="G119" i="1" s="1"/>
  <c r="D119" i="1"/>
  <c r="C119" i="1"/>
  <c r="O118" i="1"/>
  <c r="N118" i="1"/>
  <c r="P118" i="1" s="1"/>
  <c r="L118" i="1"/>
  <c r="L121" i="1" s="1"/>
  <c r="K118" i="1"/>
  <c r="M118" i="1" s="1"/>
  <c r="I118" i="1"/>
  <c r="H118" i="1"/>
  <c r="F118" i="1"/>
  <c r="E118" i="1"/>
  <c r="E121" i="1" s="1"/>
  <c r="C118" i="1"/>
  <c r="C121" i="1" s="1"/>
  <c r="B118" i="1"/>
  <c r="S117" i="1"/>
  <c r="R117" i="1"/>
  <c r="Q117" i="1"/>
  <c r="P117" i="1"/>
  <c r="M117" i="1"/>
  <c r="J117" i="1"/>
  <c r="G117" i="1"/>
  <c r="D117" i="1"/>
  <c r="O115" i="1"/>
  <c r="N115" i="1"/>
  <c r="P115" i="1" s="1"/>
  <c r="M115" i="1"/>
  <c r="L115" i="1"/>
  <c r="K115" i="1"/>
  <c r="I115" i="1"/>
  <c r="J115" i="1" s="1"/>
  <c r="H115" i="1"/>
  <c r="F115" i="1"/>
  <c r="R115" i="1" s="1"/>
  <c r="E115" i="1"/>
  <c r="C115" i="1"/>
  <c r="B115" i="1"/>
  <c r="D115" i="1" s="1"/>
  <c r="O114" i="1"/>
  <c r="P114" i="1" s="1"/>
  <c r="N114" i="1"/>
  <c r="L114" i="1"/>
  <c r="K114" i="1"/>
  <c r="M114" i="1" s="1"/>
  <c r="I114" i="1"/>
  <c r="H114" i="1"/>
  <c r="G114" i="1"/>
  <c r="F114" i="1"/>
  <c r="E114" i="1"/>
  <c r="C114" i="1"/>
  <c r="I113" i="1"/>
  <c r="H113" i="1"/>
  <c r="O112" i="1"/>
  <c r="N112" i="1"/>
  <c r="P112" i="1" s="1"/>
  <c r="L112" i="1"/>
  <c r="K112" i="1"/>
  <c r="J112" i="1"/>
  <c r="I112" i="1"/>
  <c r="H112" i="1"/>
  <c r="F112" i="1"/>
  <c r="G112" i="1" s="1"/>
  <c r="E112" i="1"/>
  <c r="C112" i="1"/>
  <c r="C113" i="1" s="1"/>
  <c r="R113" i="1" s="1"/>
  <c r="B112" i="1"/>
  <c r="O111" i="1"/>
  <c r="O113" i="1" s="1"/>
  <c r="N111" i="1"/>
  <c r="P111" i="1" s="1"/>
  <c r="L111" i="1"/>
  <c r="L113" i="1" s="1"/>
  <c r="K111" i="1"/>
  <c r="I111" i="1"/>
  <c r="H111" i="1"/>
  <c r="J111" i="1" s="1"/>
  <c r="F111" i="1"/>
  <c r="F113" i="1" s="1"/>
  <c r="E111" i="1"/>
  <c r="D111" i="1"/>
  <c r="C111" i="1"/>
  <c r="B111" i="1"/>
  <c r="R110" i="1"/>
  <c r="S110" i="1" s="1"/>
  <c r="Q110" i="1"/>
  <c r="P110" i="1"/>
  <c r="M110" i="1"/>
  <c r="J110" i="1"/>
  <c r="G110" i="1"/>
  <c r="D110" i="1"/>
  <c r="O109" i="1"/>
  <c r="N109" i="1"/>
  <c r="P109" i="1" s="1"/>
  <c r="F109" i="1"/>
  <c r="G109" i="1" s="1"/>
  <c r="P108" i="1"/>
  <c r="O108" i="1"/>
  <c r="N108" i="1"/>
  <c r="L108" i="1"/>
  <c r="M108" i="1" s="1"/>
  <c r="K108" i="1"/>
  <c r="I108" i="1"/>
  <c r="R108" i="1" s="1"/>
  <c r="H108" i="1"/>
  <c r="F108" i="1"/>
  <c r="E108" i="1"/>
  <c r="G108" i="1" s="1"/>
  <c r="D108" i="1"/>
  <c r="C108" i="1"/>
  <c r="R107" i="1"/>
  <c r="Q107" i="1"/>
  <c r="S107" i="1" s="1"/>
  <c r="O107" i="1"/>
  <c r="N107" i="1"/>
  <c r="P107" i="1" s="1"/>
  <c r="L107" i="1"/>
  <c r="K107" i="1"/>
  <c r="M107" i="1" s="1"/>
  <c r="J107" i="1"/>
  <c r="I107" i="1"/>
  <c r="H107" i="1"/>
  <c r="F107" i="1"/>
  <c r="E107" i="1"/>
  <c r="G107" i="1" s="1"/>
  <c r="C107" i="1"/>
  <c r="B107" i="1"/>
  <c r="D107" i="1" s="1"/>
  <c r="O106" i="1"/>
  <c r="P106" i="1" s="1"/>
  <c r="L106" i="1"/>
  <c r="M106" i="1" s="1"/>
  <c r="I106" i="1"/>
  <c r="J106" i="1" s="1"/>
  <c r="H106" i="1"/>
  <c r="F106" i="1"/>
  <c r="E106" i="1"/>
  <c r="G106" i="1" s="1"/>
  <c r="C106" i="1"/>
  <c r="B106" i="1"/>
  <c r="O105" i="1"/>
  <c r="P105" i="1" s="1"/>
  <c r="L105" i="1"/>
  <c r="M105" i="1" s="1"/>
  <c r="J105" i="1"/>
  <c r="I105" i="1"/>
  <c r="F105" i="1"/>
  <c r="E105" i="1"/>
  <c r="G105" i="1" s="1"/>
  <c r="D105" i="1"/>
  <c r="C105" i="1"/>
  <c r="R104" i="1"/>
  <c r="Q104" i="1"/>
  <c r="O104" i="1"/>
  <c r="N104" i="1"/>
  <c r="P104" i="1" s="1"/>
  <c r="L104" i="1"/>
  <c r="K104" i="1"/>
  <c r="I104" i="1"/>
  <c r="J104" i="1" s="1"/>
  <c r="H104" i="1"/>
  <c r="F104" i="1"/>
  <c r="E104" i="1"/>
  <c r="E109" i="1" s="1"/>
  <c r="C104" i="1"/>
  <c r="C109" i="1" s="1"/>
  <c r="B104" i="1"/>
  <c r="S103" i="1"/>
  <c r="R103" i="1"/>
  <c r="Q103" i="1"/>
  <c r="P103" i="1"/>
  <c r="M103" i="1"/>
  <c r="J103" i="1"/>
  <c r="G103" i="1"/>
  <c r="D103" i="1"/>
  <c r="R102" i="1"/>
  <c r="N102" i="1"/>
  <c r="P102" i="1" s="1"/>
  <c r="K102" i="1"/>
  <c r="M102" i="1" s="1"/>
  <c r="H102" i="1"/>
  <c r="J102" i="1" s="1"/>
  <c r="E102" i="1"/>
  <c r="G102" i="1" s="1"/>
  <c r="D102" i="1"/>
  <c r="R101" i="1"/>
  <c r="N101" i="1"/>
  <c r="P101" i="1" s="1"/>
  <c r="K101" i="1"/>
  <c r="M101" i="1" s="1"/>
  <c r="H101" i="1"/>
  <c r="J101" i="1" s="1"/>
  <c r="E101" i="1"/>
  <c r="G101" i="1" s="1"/>
  <c r="D101" i="1"/>
  <c r="R100" i="1"/>
  <c r="N100" i="1"/>
  <c r="P100" i="1" s="1"/>
  <c r="K100" i="1"/>
  <c r="M100" i="1" s="1"/>
  <c r="H100" i="1"/>
  <c r="J100" i="1" s="1"/>
  <c r="G100" i="1"/>
  <c r="E100" i="1"/>
  <c r="D100" i="1"/>
  <c r="R99" i="1"/>
  <c r="P99" i="1"/>
  <c r="N99" i="1"/>
  <c r="M99" i="1"/>
  <c r="K99" i="1"/>
  <c r="H99" i="1"/>
  <c r="E99" i="1"/>
  <c r="D99" i="1"/>
  <c r="O98" i="1"/>
  <c r="P98" i="1" s="1"/>
  <c r="L98" i="1"/>
  <c r="K98" i="1"/>
  <c r="J98" i="1"/>
  <c r="I98" i="1"/>
  <c r="H98" i="1"/>
  <c r="F98" i="1"/>
  <c r="G98" i="1" s="1"/>
  <c r="E98" i="1"/>
  <c r="C98" i="1"/>
  <c r="R98" i="1" s="1"/>
  <c r="B98" i="1"/>
  <c r="Q98" i="1" s="1"/>
  <c r="P97" i="1"/>
  <c r="O97" i="1"/>
  <c r="M97" i="1"/>
  <c r="L97" i="1"/>
  <c r="J97" i="1"/>
  <c r="I97" i="1"/>
  <c r="F97" i="1"/>
  <c r="E97" i="1"/>
  <c r="G97" i="1" s="1"/>
  <c r="C97" i="1"/>
  <c r="R97" i="1" s="1"/>
  <c r="B97" i="1"/>
  <c r="O96" i="1"/>
  <c r="L96" i="1"/>
  <c r="M96" i="1" s="1"/>
  <c r="J96" i="1"/>
  <c r="I96" i="1"/>
  <c r="F96" i="1"/>
  <c r="E96" i="1"/>
  <c r="G96" i="1" s="1"/>
  <c r="C96" i="1"/>
  <c r="B96" i="1"/>
  <c r="R95" i="1"/>
  <c r="S95" i="1" s="1"/>
  <c r="Q95" i="1"/>
  <c r="P95" i="1"/>
  <c r="M95" i="1"/>
  <c r="J95" i="1"/>
  <c r="G95" i="1"/>
  <c r="D95" i="1"/>
  <c r="O93" i="1"/>
  <c r="N93" i="1"/>
  <c r="M93" i="1"/>
  <c r="L93" i="1"/>
  <c r="J93" i="1"/>
  <c r="I93" i="1"/>
  <c r="F93" i="1"/>
  <c r="G93" i="1" s="1"/>
  <c r="C93" i="1"/>
  <c r="O92" i="1"/>
  <c r="N92" i="1"/>
  <c r="P92" i="1" s="1"/>
  <c r="L92" i="1"/>
  <c r="K92" i="1"/>
  <c r="J92" i="1"/>
  <c r="I92" i="1"/>
  <c r="H92" i="1"/>
  <c r="F92" i="1"/>
  <c r="G92" i="1" s="1"/>
  <c r="E92" i="1"/>
  <c r="C92" i="1"/>
  <c r="R92" i="1" s="1"/>
  <c r="B92" i="1"/>
  <c r="Q92" i="1" s="1"/>
  <c r="N91" i="1"/>
  <c r="F91" i="1"/>
  <c r="E91" i="1"/>
  <c r="D91" i="1"/>
  <c r="B91" i="1"/>
  <c r="Q90" i="1"/>
  <c r="O90" i="1"/>
  <c r="P90" i="1" s="1"/>
  <c r="M90" i="1"/>
  <c r="L90" i="1"/>
  <c r="I90" i="1"/>
  <c r="J90" i="1" s="1"/>
  <c r="G90" i="1"/>
  <c r="F90" i="1"/>
  <c r="C90" i="1"/>
  <c r="O89" i="1"/>
  <c r="P89" i="1" s="1"/>
  <c r="L89" i="1"/>
  <c r="L91" i="1" s="1"/>
  <c r="K89" i="1"/>
  <c r="J89" i="1"/>
  <c r="I89" i="1"/>
  <c r="F89" i="1"/>
  <c r="G89" i="1" s="1"/>
  <c r="D89" i="1"/>
  <c r="C89" i="1"/>
  <c r="R88" i="1"/>
  <c r="Q88" i="1"/>
  <c r="S88" i="1" s="1"/>
  <c r="O88" i="1"/>
  <c r="O91" i="1" s="1"/>
  <c r="L88" i="1"/>
  <c r="M88" i="1" s="1"/>
  <c r="I88" i="1"/>
  <c r="I91" i="1" s="1"/>
  <c r="H88" i="1"/>
  <c r="G88" i="1"/>
  <c r="F88" i="1"/>
  <c r="C88" i="1"/>
  <c r="C91" i="1" s="1"/>
  <c r="R87" i="1"/>
  <c r="Q87" i="1"/>
  <c r="S87" i="1" s="1"/>
  <c r="P87" i="1"/>
  <c r="M87" i="1"/>
  <c r="J87" i="1"/>
  <c r="G87" i="1"/>
  <c r="D87" i="1"/>
  <c r="Q86" i="1"/>
  <c r="P86" i="1"/>
  <c r="O86" i="1"/>
  <c r="N86" i="1"/>
  <c r="L86" i="1"/>
  <c r="M86" i="1" s="1"/>
  <c r="I86" i="1"/>
  <c r="H86" i="1"/>
  <c r="J86" i="1" s="1"/>
  <c r="F86" i="1"/>
  <c r="G86" i="1" s="1"/>
  <c r="E86" i="1"/>
  <c r="C86" i="1"/>
  <c r="R86" i="1" s="1"/>
  <c r="B86" i="1"/>
  <c r="D86" i="1" s="1"/>
  <c r="P85" i="1"/>
  <c r="O85" i="1"/>
  <c r="N85" i="1"/>
  <c r="L85" i="1"/>
  <c r="M85" i="1" s="1"/>
  <c r="K85" i="1"/>
  <c r="J85" i="1"/>
  <c r="I85" i="1"/>
  <c r="R85" i="1" s="1"/>
  <c r="H85" i="1"/>
  <c r="F85" i="1"/>
  <c r="E85" i="1"/>
  <c r="G85" i="1" s="1"/>
  <c r="C85" i="1"/>
  <c r="B85" i="1"/>
  <c r="S84" i="1"/>
  <c r="R84" i="1"/>
  <c r="O84" i="1"/>
  <c r="N84" i="1"/>
  <c r="P84" i="1" s="1"/>
  <c r="L84" i="1"/>
  <c r="K84" i="1"/>
  <c r="J84" i="1"/>
  <c r="I84" i="1"/>
  <c r="H84" i="1"/>
  <c r="F84" i="1"/>
  <c r="G84" i="1" s="1"/>
  <c r="E84" i="1"/>
  <c r="C84" i="1"/>
  <c r="B84" i="1"/>
  <c r="Q84" i="1" s="1"/>
  <c r="O83" i="1"/>
  <c r="N83" i="1"/>
  <c r="P83" i="1" s="1"/>
  <c r="L83" i="1"/>
  <c r="M83" i="1" s="1"/>
  <c r="K83" i="1"/>
  <c r="I83" i="1"/>
  <c r="H83" i="1"/>
  <c r="J83" i="1" s="1"/>
  <c r="F83" i="1"/>
  <c r="E83" i="1"/>
  <c r="D83" i="1"/>
  <c r="C83" i="1"/>
  <c r="B83" i="1"/>
  <c r="O82" i="1"/>
  <c r="N82" i="1"/>
  <c r="L82" i="1"/>
  <c r="K82" i="1"/>
  <c r="M82" i="1" s="1"/>
  <c r="I82" i="1"/>
  <c r="I94" i="1" s="1"/>
  <c r="H82" i="1"/>
  <c r="G82" i="1"/>
  <c r="F82" i="1"/>
  <c r="E82" i="1"/>
  <c r="C82" i="1"/>
  <c r="B82" i="1"/>
  <c r="R81" i="1"/>
  <c r="Q81" i="1"/>
  <c r="S81" i="1" s="1"/>
  <c r="P81" i="1"/>
  <c r="M81" i="1"/>
  <c r="J81" i="1"/>
  <c r="G81" i="1"/>
  <c r="D81" i="1"/>
  <c r="P80" i="1"/>
  <c r="N80" i="1"/>
  <c r="L80" i="1"/>
  <c r="H80" i="1"/>
  <c r="E80" i="1"/>
  <c r="B80" i="1"/>
  <c r="R79" i="1"/>
  <c r="S79" i="1" s="1"/>
  <c r="Q79" i="1"/>
  <c r="O79" i="1"/>
  <c r="P79" i="1" s="1"/>
  <c r="M79" i="1"/>
  <c r="L79" i="1"/>
  <c r="I79" i="1"/>
  <c r="I80" i="1" s="1"/>
  <c r="G79" i="1"/>
  <c r="F79" i="1"/>
  <c r="C79" i="1"/>
  <c r="D79" i="1" s="1"/>
  <c r="Q78" i="1"/>
  <c r="O78" i="1"/>
  <c r="P78" i="1" s="1"/>
  <c r="L78" i="1"/>
  <c r="M78" i="1" s="1"/>
  <c r="I78" i="1"/>
  <c r="J78" i="1" s="1"/>
  <c r="H78" i="1"/>
  <c r="G78" i="1"/>
  <c r="F78" i="1"/>
  <c r="D78" i="1"/>
  <c r="C78" i="1"/>
  <c r="B78" i="1"/>
  <c r="O77" i="1"/>
  <c r="O80" i="1" s="1"/>
  <c r="M77" i="1"/>
  <c r="L77" i="1"/>
  <c r="K77" i="1"/>
  <c r="K80" i="1" s="1"/>
  <c r="M80" i="1" s="1"/>
  <c r="I77" i="1"/>
  <c r="J77" i="1" s="1"/>
  <c r="F77" i="1"/>
  <c r="D77" i="1"/>
  <c r="C77" i="1"/>
  <c r="R76" i="1"/>
  <c r="Q76" i="1"/>
  <c r="S76" i="1" s="1"/>
  <c r="P76" i="1"/>
  <c r="M76" i="1"/>
  <c r="J76" i="1"/>
  <c r="G76" i="1"/>
  <c r="D76" i="1"/>
  <c r="L75" i="1"/>
  <c r="H75" i="1"/>
  <c r="F75" i="1"/>
  <c r="O74" i="1"/>
  <c r="N74" i="1"/>
  <c r="P74" i="1" s="1"/>
  <c r="L74" i="1"/>
  <c r="M74" i="1" s="1"/>
  <c r="I74" i="1"/>
  <c r="J74" i="1" s="1"/>
  <c r="H74" i="1"/>
  <c r="F74" i="1"/>
  <c r="R74" i="1" s="1"/>
  <c r="E74" i="1"/>
  <c r="D74" i="1"/>
  <c r="C74" i="1"/>
  <c r="Q73" i="1"/>
  <c r="O73" i="1"/>
  <c r="P73" i="1" s="1"/>
  <c r="M73" i="1"/>
  <c r="L73" i="1"/>
  <c r="I73" i="1"/>
  <c r="J73" i="1" s="1"/>
  <c r="G73" i="1"/>
  <c r="F73" i="1"/>
  <c r="D73" i="1"/>
  <c r="C73" i="1"/>
  <c r="O72" i="1"/>
  <c r="P72" i="1" s="1"/>
  <c r="L72" i="1"/>
  <c r="K72" i="1"/>
  <c r="M72" i="1" s="1"/>
  <c r="J72" i="1"/>
  <c r="I72" i="1"/>
  <c r="H72" i="1"/>
  <c r="Q72" i="1" s="1"/>
  <c r="F72" i="1"/>
  <c r="G72" i="1" s="1"/>
  <c r="C72" i="1"/>
  <c r="O71" i="1"/>
  <c r="N71" i="1"/>
  <c r="P71" i="1" s="1"/>
  <c r="L71" i="1"/>
  <c r="K71" i="1"/>
  <c r="J71" i="1"/>
  <c r="I71" i="1"/>
  <c r="H71" i="1"/>
  <c r="F71" i="1"/>
  <c r="G71" i="1" s="1"/>
  <c r="E71" i="1"/>
  <c r="C71" i="1"/>
  <c r="B71" i="1"/>
  <c r="R70" i="1"/>
  <c r="Q70" i="1"/>
  <c r="S70" i="1" s="1"/>
  <c r="P70" i="1"/>
  <c r="M70" i="1"/>
  <c r="J70" i="1"/>
  <c r="G70" i="1"/>
  <c r="D70" i="1"/>
  <c r="N69" i="1"/>
  <c r="E69" i="1"/>
  <c r="B69" i="1"/>
  <c r="Q68" i="1"/>
  <c r="O68" i="1"/>
  <c r="P68" i="1" s="1"/>
  <c r="M68" i="1"/>
  <c r="L68" i="1"/>
  <c r="I68" i="1"/>
  <c r="J68" i="1" s="1"/>
  <c r="G68" i="1"/>
  <c r="F68" i="1"/>
  <c r="C68" i="1"/>
  <c r="Q67" i="1"/>
  <c r="O67" i="1"/>
  <c r="P67" i="1" s="1"/>
  <c r="L67" i="1"/>
  <c r="M67" i="1" s="1"/>
  <c r="J67" i="1"/>
  <c r="I67" i="1"/>
  <c r="F67" i="1"/>
  <c r="G67" i="1" s="1"/>
  <c r="C67" i="1"/>
  <c r="Q66" i="1"/>
  <c r="P66" i="1"/>
  <c r="O66" i="1"/>
  <c r="L66" i="1"/>
  <c r="K66" i="1"/>
  <c r="I66" i="1"/>
  <c r="J66" i="1" s="1"/>
  <c r="G66" i="1"/>
  <c r="F66" i="1"/>
  <c r="R66" i="1" s="1"/>
  <c r="C66" i="1"/>
  <c r="D66" i="1" s="1"/>
  <c r="Q65" i="1"/>
  <c r="P65" i="1"/>
  <c r="O65" i="1"/>
  <c r="M65" i="1"/>
  <c r="L65" i="1"/>
  <c r="I65" i="1"/>
  <c r="J65" i="1" s="1"/>
  <c r="G65" i="1"/>
  <c r="F65" i="1"/>
  <c r="C65" i="1"/>
  <c r="R65" i="1" s="1"/>
  <c r="S65" i="1" s="1"/>
  <c r="Q64" i="1"/>
  <c r="O64" i="1"/>
  <c r="P64" i="1" s="1"/>
  <c r="L64" i="1"/>
  <c r="M64" i="1" s="1"/>
  <c r="J64" i="1"/>
  <c r="I64" i="1"/>
  <c r="H64" i="1"/>
  <c r="F64" i="1"/>
  <c r="G64" i="1" s="1"/>
  <c r="D64" i="1"/>
  <c r="C64" i="1"/>
  <c r="R63" i="1"/>
  <c r="S63" i="1" s="1"/>
  <c r="Q63" i="1"/>
  <c r="O63" i="1"/>
  <c r="P63" i="1" s="1"/>
  <c r="L63" i="1"/>
  <c r="M63" i="1" s="1"/>
  <c r="I63" i="1"/>
  <c r="J63" i="1" s="1"/>
  <c r="F63" i="1"/>
  <c r="G63" i="1" s="1"/>
  <c r="C63" i="1"/>
  <c r="D63" i="1" s="1"/>
  <c r="R62" i="1"/>
  <c r="S62" i="1" s="1"/>
  <c r="Q62" i="1"/>
  <c r="O62" i="1"/>
  <c r="P62" i="1" s="1"/>
  <c r="M62" i="1"/>
  <c r="L62" i="1"/>
  <c r="I62" i="1"/>
  <c r="J62" i="1" s="1"/>
  <c r="G62" i="1"/>
  <c r="F62" i="1"/>
  <c r="D62" i="1"/>
  <c r="C62" i="1"/>
  <c r="Q61" i="1"/>
  <c r="O61" i="1"/>
  <c r="P61" i="1" s="1"/>
  <c r="L61" i="1"/>
  <c r="M61" i="1" s="1"/>
  <c r="I61" i="1"/>
  <c r="J61" i="1" s="1"/>
  <c r="F61" i="1"/>
  <c r="G61" i="1" s="1"/>
  <c r="C61" i="1"/>
  <c r="Q60" i="1"/>
  <c r="P60" i="1"/>
  <c r="O60" i="1"/>
  <c r="L60" i="1"/>
  <c r="M60" i="1" s="1"/>
  <c r="J60" i="1"/>
  <c r="I60" i="1"/>
  <c r="F60" i="1"/>
  <c r="G60" i="1" s="1"/>
  <c r="D60" i="1"/>
  <c r="C60" i="1"/>
  <c r="O59" i="1"/>
  <c r="N59" i="1"/>
  <c r="M59" i="1"/>
  <c r="L59" i="1"/>
  <c r="I59" i="1"/>
  <c r="J59" i="1" s="1"/>
  <c r="G59" i="1"/>
  <c r="F59" i="1"/>
  <c r="C59" i="1"/>
  <c r="Q58" i="1"/>
  <c r="O58" i="1"/>
  <c r="P58" i="1" s="1"/>
  <c r="L58" i="1"/>
  <c r="M58" i="1" s="1"/>
  <c r="J58" i="1"/>
  <c r="I58" i="1"/>
  <c r="F58" i="1"/>
  <c r="G58" i="1" s="1"/>
  <c r="C58" i="1"/>
  <c r="Q57" i="1"/>
  <c r="P57" i="1"/>
  <c r="O57" i="1"/>
  <c r="M57" i="1"/>
  <c r="L57" i="1"/>
  <c r="J57" i="1"/>
  <c r="I57" i="1"/>
  <c r="F57" i="1"/>
  <c r="R57" i="1" s="1"/>
  <c r="D57" i="1"/>
  <c r="C57" i="1"/>
  <c r="Q56" i="1"/>
  <c r="O56" i="1"/>
  <c r="P56" i="1" s="1"/>
  <c r="L56" i="1"/>
  <c r="M56" i="1" s="1"/>
  <c r="I56" i="1"/>
  <c r="J56" i="1" s="1"/>
  <c r="F56" i="1"/>
  <c r="C56" i="1"/>
  <c r="O55" i="1"/>
  <c r="N55" i="1"/>
  <c r="L55" i="1"/>
  <c r="M55" i="1" s="1"/>
  <c r="I55" i="1"/>
  <c r="R55" i="1" s="1"/>
  <c r="F55" i="1"/>
  <c r="G55" i="1" s="1"/>
  <c r="C55" i="1"/>
  <c r="D55" i="1" s="1"/>
  <c r="P54" i="1"/>
  <c r="O54" i="1"/>
  <c r="N54" i="1"/>
  <c r="L54" i="1"/>
  <c r="I54" i="1"/>
  <c r="H54" i="1"/>
  <c r="Q54" i="1" s="1"/>
  <c r="G54" i="1"/>
  <c r="F54" i="1"/>
  <c r="C54" i="1"/>
  <c r="R53" i="1"/>
  <c r="Q53" i="1"/>
  <c r="S53" i="1" s="1"/>
  <c r="P53" i="1"/>
  <c r="M53" i="1"/>
  <c r="J53" i="1"/>
  <c r="G53" i="1"/>
  <c r="D53" i="1"/>
  <c r="H52" i="1"/>
  <c r="Q51" i="1"/>
  <c r="O51" i="1"/>
  <c r="P51" i="1" s="1"/>
  <c r="L51" i="1"/>
  <c r="M51" i="1" s="1"/>
  <c r="J51" i="1"/>
  <c r="I51" i="1"/>
  <c r="F51" i="1"/>
  <c r="G51" i="1" s="1"/>
  <c r="C51" i="1"/>
  <c r="D51" i="1" s="1"/>
  <c r="Q50" i="1"/>
  <c r="P50" i="1"/>
  <c r="O50" i="1"/>
  <c r="M50" i="1"/>
  <c r="L50" i="1"/>
  <c r="I50" i="1"/>
  <c r="J50" i="1" s="1"/>
  <c r="F50" i="1"/>
  <c r="G50" i="1" s="1"/>
  <c r="D50" i="1"/>
  <c r="C50" i="1"/>
  <c r="Q49" i="1"/>
  <c r="O49" i="1"/>
  <c r="P49" i="1" s="1"/>
  <c r="L49" i="1"/>
  <c r="M49" i="1" s="1"/>
  <c r="J49" i="1"/>
  <c r="I49" i="1"/>
  <c r="F49" i="1"/>
  <c r="G49" i="1" s="1"/>
  <c r="D49" i="1"/>
  <c r="C49" i="1"/>
  <c r="R48" i="1"/>
  <c r="Q48" i="1"/>
  <c r="S48" i="1" s="1"/>
  <c r="P48" i="1"/>
  <c r="O48" i="1"/>
  <c r="L48" i="1"/>
  <c r="M48" i="1" s="1"/>
  <c r="I48" i="1"/>
  <c r="J48" i="1" s="1"/>
  <c r="F48" i="1"/>
  <c r="G48" i="1" s="1"/>
  <c r="D48" i="1"/>
  <c r="C48" i="1"/>
  <c r="O47" i="1"/>
  <c r="P47" i="1" s="1"/>
  <c r="L47" i="1"/>
  <c r="M47" i="1" s="1"/>
  <c r="I47" i="1"/>
  <c r="J47" i="1" s="1"/>
  <c r="F47" i="1"/>
  <c r="E47" i="1"/>
  <c r="G47" i="1" s="1"/>
  <c r="C47" i="1"/>
  <c r="O46" i="1"/>
  <c r="N46" i="1"/>
  <c r="N52" i="1" s="1"/>
  <c r="L46" i="1"/>
  <c r="K46" i="1"/>
  <c r="K52" i="1" s="1"/>
  <c r="I46" i="1"/>
  <c r="I52" i="1" s="1"/>
  <c r="H46" i="1"/>
  <c r="J46" i="1" s="1"/>
  <c r="F46" i="1"/>
  <c r="F52" i="1" s="1"/>
  <c r="E46" i="1"/>
  <c r="D46" i="1"/>
  <c r="C46" i="1"/>
  <c r="B46" i="1"/>
  <c r="B52" i="1" s="1"/>
  <c r="R45" i="1"/>
  <c r="S45" i="1" s="1"/>
  <c r="Q45" i="1"/>
  <c r="P45" i="1"/>
  <c r="M45" i="1"/>
  <c r="J45" i="1"/>
  <c r="G45" i="1"/>
  <c r="D45" i="1"/>
  <c r="M44" i="1"/>
  <c r="H44" i="1"/>
  <c r="Q43" i="1"/>
  <c r="O43" i="1"/>
  <c r="P43" i="1" s="1"/>
  <c r="L43" i="1"/>
  <c r="K43" i="1"/>
  <c r="M43" i="1" s="1"/>
  <c r="I43" i="1"/>
  <c r="J43" i="1" s="1"/>
  <c r="G43" i="1"/>
  <c r="F43" i="1"/>
  <c r="R43" i="1" s="1"/>
  <c r="D43" i="1"/>
  <c r="C43" i="1"/>
  <c r="O42" i="1"/>
  <c r="P42" i="1" s="1"/>
  <c r="N42" i="1"/>
  <c r="M42" i="1"/>
  <c r="L42" i="1"/>
  <c r="K42" i="1"/>
  <c r="I42" i="1"/>
  <c r="H42" i="1"/>
  <c r="J42" i="1" s="1"/>
  <c r="F42" i="1"/>
  <c r="R42" i="1" s="1"/>
  <c r="E42" i="1"/>
  <c r="C42" i="1"/>
  <c r="B42" i="1"/>
  <c r="D42" i="1" s="1"/>
  <c r="Q41" i="1"/>
  <c r="O41" i="1"/>
  <c r="P41" i="1" s="1"/>
  <c r="L41" i="1"/>
  <c r="M41" i="1" s="1"/>
  <c r="J41" i="1"/>
  <c r="I41" i="1"/>
  <c r="G41" i="1"/>
  <c r="F41" i="1"/>
  <c r="C41" i="1"/>
  <c r="D41" i="1" s="1"/>
  <c r="Q40" i="1"/>
  <c r="O40" i="1"/>
  <c r="P40" i="1" s="1"/>
  <c r="L40" i="1"/>
  <c r="M40" i="1" s="1"/>
  <c r="J40" i="1"/>
  <c r="I40" i="1"/>
  <c r="F40" i="1"/>
  <c r="G40" i="1" s="1"/>
  <c r="C40" i="1"/>
  <c r="R39" i="1"/>
  <c r="O39" i="1"/>
  <c r="N39" i="1"/>
  <c r="P39" i="1" s="1"/>
  <c r="L39" i="1"/>
  <c r="K39" i="1"/>
  <c r="M39" i="1" s="1"/>
  <c r="I39" i="1"/>
  <c r="J39" i="1" s="1"/>
  <c r="H39" i="1"/>
  <c r="F39" i="1"/>
  <c r="G39" i="1" s="1"/>
  <c r="E39" i="1"/>
  <c r="C39" i="1"/>
  <c r="B39" i="1"/>
  <c r="Q39" i="1" s="1"/>
  <c r="S39" i="1" s="1"/>
  <c r="O38" i="1"/>
  <c r="N38" i="1"/>
  <c r="P38" i="1" s="1"/>
  <c r="L38" i="1"/>
  <c r="K38" i="1"/>
  <c r="M38" i="1" s="1"/>
  <c r="I38" i="1"/>
  <c r="H38" i="1"/>
  <c r="J38" i="1" s="1"/>
  <c r="F38" i="1"/>
  <c r="F44" i="1" s="1"/>
  <c r="E38" i="1"/>
  <c r="G38" i="1" s="1"/>
  <c r="D38" i="1"/>
  <c r="C38" i="1"/>
  <c r="B38" i="1"/>
  <c r="O37" i="1"/>
  <c r="N37" i="1"/>
  <c r="P37" i="1" s="1"/>
  <c r="M37" i="1"/>
  <c r="L37" i="1"/>
  <c r="K37" i="1"/>
  <c r="I37" i="1"/>
  <c r="H37" i="1"/>
  <c r="J37" i="1" s="1"/>
  <c r="F37" i="1"/>
  <c r="R37" i="1" s="1"/>
  <c r="E37" i="1"/>
  <c r="E44" i="1" s="1"/>
  <c r="C37" i="1"/>
  <c r="B37" i="1"/>
  <c r="D37" i="1" s="1"/>
  <c r="P36" i="1"/>
  <c r="O36" i="1"/>
  <c r="N36" i="1"/>
  <c r="L36" i="1"/>
  <c r="L44" i="1" s="1"/>
  <c r="K36" i="1"/>
  <c r="K44" i="1" s="1"/>
  <c r="I36" i="1"/>
  <c r="I44" i="1" s="1"/>
  <c r="H36" i="1"/>
  <c r="G36" i="1"/>
  <c r="F36" i="1"/>
  <c r="E36" i="1"/>
  <c r="C36" i="1"/>
  <c r="B36" i="1"/>
  <c r="R35" i="1"/>
  <c r="S35" i="1" s="1"/>
  <c r="Q35" i="1"/>
  <c r="P35" i="1"/>
  <c r="M35" i="1"/>
  <c r="J35" i="1"/>
  <c r="G35" i="1"/>
  <c r="D35" i="1"/>
  <c r="C34" i="1"/>
  <c r="B34" i="1"/>
  <c r="D34" i="1" s="1"/>
  <c r="Q33" i="1"/>
  <c r="P33" i="1"/>
  <c r="O33" i="1"/>
  <c r="L33" i="1"/>
  <c r="M33" i="1" s="1"/>
  <c r="I33" i="1"/>
  <c r="J33" i="1" s="1"/>
  <c r="F33" i="1"/>
  <c r="D33" i="1"/>
  <c r="C33" i="1"/>
  <c r="R32" i="1"/>
  <c r="Q32" i="1"/>
  <c r="S32" i="1" s="1"/>
  <c r="P32" i="1"/>
  <c r="O32" i="1"/>
  <c r="L32" i="1"/>
  <c r="M32" i="1" s="1"/>
  <c r="I32" i="1"/>
  <c r="J32" i="1" s="1"/>
  <c r="G32" i="1"/>
  <c r="F32" i="1"/>
  <c r="D32" i="1"/>
  <c r="C32" i="1"/>
  <c r="O31" i="1"/>
  <c r="P31" i="1" s="1"/>
  <c r="N31" i="1"/>
  <c r="M31" i="1"/>
  <c r="L31" i="1"/>
  <c r="K31" i="1"/>
  <c r="I31" i="1"/>
  <c r="H31" i="1"/>
  <c r="J31" i="1" s="1"/>
  <c r="F31" i="1"/>
  <c r="R31" i="1" s="1"/>
  <c r="E31" i="1"/>
  <c r="C31" i="1"/>
  <c r="B31" i="1"/>
  <c r="D31" i="1" s="1"/>
  <c r="Q30" i="1"/>
  <c r="O30" i="1"/>
  <c r="P30" i="1" s="1"/>
  <c r="N30" i="1"/>
  <c r="L30" i="1"/>
  <c r="M30" i="1" s="1"/>
  <c r="K30" i="1"/>
  <c r="I30" i="1"/>
  <c r="R30" i="1" s="1"/>
  <c r="H30" i="1"/>
  <c r="J30" i="1" s="1"/>
  <c r="G30" i="1"/>
  <c r="F30" i="1"/>
  <c r="E30" i="1"/>
  <c r="C30" i="1"/>
  <c r="B30" i="1"/>
  <c r="D30" i="1" s="1"/>
  <c r="Q29" i="1"/>
  <c r="O29" i="1"/>
  <c r="N29" i="1"/>
  <c r="P29" i="1" s="1"/>
  <c r="L29" i="1"/>
  <c r="M29" i="1" s="1"/>
  <c r="I29" i="1"/>
  <c r="H29" i="1"/>
  <c r="J29" i="1" s="1"/>
  <c r="F29" i="1"/>
  <c r="E29" i="1"/>
  <c r="G29" i="1" s="1"/>
  <c r="C29" i="1"/>
  <c r="D29" i="1" s="1"/>
  <c r="R28" i="1"/>
  <c r="O28" i="1"/>
  <c r="N28" i="1"/>
  <c r="P28" i="1" s="1"/>
  <c r="L28" i="1"/>
  <c r="K28" i="1"/>
  <c r="M28" i="1" s="1"/>
  <c r="I28" i="1"/>
  <c r="I34" i="1" s="1"/>
  <c r="H28" i="1"/>
  <c r="F28" i="1"/>
  <c r="G28" i="1" s="1"/>
  <c r="E28" i="1"/>
  <c r="C28" i="1"/>
  <c r="B28" i="1"/>
  <c r="Q28" i="1" s="1"/>
  <c r="S28" i="1" s="1"/>
  <c r="O27" i="1"/>
  <c r="N27" i="1"/>
  <c r="L27" i="1"/>
  <c r="L34" i="1" s="1"/>
  <c r="K27" i="1"/>
  <c r="M27" i="1" s="1"/>
  <c r="I27" i="1"/>
  <c r="H27" i="1"/>
  <c r="F27" i="1"/>
  <c r="E27" i="1"/>
  <c r="D27" i="1"/>
  <c r="C27" i="1"/>
  <c r="B27" i="1"/>
  <c r="R26" i="1"/>
  <c r="Q26" i="1"/>
  <c r="S26" i="1" s="1"/>
  <c r="P26" i="1"/>
  <c r="M26" i="1"/>
  <c r="J26" i="1"/>
  <c r="G26" i="1"/>
  <c r="D26" i="1"/>
  <c r="L21" i="1"/>
  <c r="Q20" i="1"/>
  <c r="O20" i="1"/>
  <c r="P20" i="1" s="1"/>
  <c r="L20" i="1"/>
  <c r="M20" i="1" s="1"/>
  <c r="J20" i="1"/>
  <c r="I20" i="1"/>
  <c r="F20" i="1"/>
  <c r="G20" i="1" s="1"/>
  <c r="C20" i="1"/>
  <c r="O19" i="1"/>
  <c r="N19" i="1"/>
  <c r="P19" i="1" s="1"/>
  <c r="L19" i="1"/>
  <c r="K19" i="1"/>
  <c r="K21" i="1" s="1"/>
  <c r="M21" i="1" s="1"/>
  <c r="J19" i="1"/>
  <c r="I19" i="1"/>
  <c r="H19" i="1"/>
  <c r="F19" i="1"/>
  <c r="E19" i="1"/>
  <c r="G19" i="1" s="1"/>
  <c r="C19" i="1"/>
  <c r="R19" i="1" s="1"/>
  <c r="S19" i="1" s="1"/>
  <c r="B19" i="1"/>
  <c r="Q19" i="1" s="1"/>
  <c r="O18" i="1"/>
  <c r="N18" i="1"/>
  <c r="P18" i="1" s="1"/>
  <c r="L18" i="1"/>
  <c r="M18" i="1" s="1"/>
  <c r="K18" i="1"/>
  <c r="I18" i="1"/>
  <c r="I21" i="1" s="1"/>
  <c r="H18" i="1"/>
  <c r="J18" i="1" s="1"/>
  <c r="F18" i="1"/>
  <c r="F21" i="1" s="1"/>
  <c r="E18" i="1"/>
  <c r="Q18" i="1" s="1"/>
  <c r="D18" i="1"/>
  <c r="C18" i="1"/>
  <c r="B18" i="1"/>
  <c r="R17" i="1"/>
  <c r="Q17" i="1"/>
  <c r="S17" i="1" s="1"/>
  <c r="P17" i="1"/>
  <c r="M17" i="1"/>
  <c r="J17" i="1"/>
  <c r="G17" i="1"/>
  <c r="D17" i="1"/>
  <c r="I16" i="1"/>
  <c r="H16" i="1"/>
  <c r="J16" i="1" s="1"/>
  <c r="Q15" i="1"/>
  <c r="S15" i="1" s="1"/>
  <c r="P15" i="1"/>
  <c r="O15" i="1"/>
  <c r="L15" i="1"/>
  <c r="M15" i="1" s="1"/>
  <c r="I15" i="1"/>
  <c r="J15" i="1" s="1"/>
  <c r="G15" i="1"/>
  <c r="F15" i="1"/>
  <c r="R15" i="1" s="1"/>
  <c r="D15" i="1"/>
  <c r="C15" i="1"/>
  <c r="O14" i="1"/>
  <c r="O16" i="1" s="1"/>
  <c r="N14" i="1"/>
  <c r="N16" i="1" s="1"/>
  <c r="P16" i="1" s="1"/>
  <c r="M14" i="1"/>
  <c r="L14" i="1"/>
  <c r="L16" i="1" s="1"/>
  <c r="K14" i="1"/>
  <c r="K16" i="1" s="1"/>
  <c r="I14" i="1"/>
  <c r="H14" i="1"/>
  <c r="J14" i="1" s="1"/>
  <c r="F14" i="1"/>
  <c r="F16" i="1" s="1"/>
  <c r="E14" i="1"/>
  <c r="E16" i="1" s="1"/>
  <c r="D14" i="1"/>
  <c r="C14" i="1"/>
  <c r="C16" i="1" s="1"/>
  <c r="B14" i="1"/>
  <c r="B16" i="1" s="1"/>
  <c r="R13" i="1"/>
  <c r="Q13" i="1"/>
  <c r="S13" i="1" s="1"/>
  <c r="P13" i="1"/>
  <c r="M13" i="1"/>
  <c r="J13" i="1"/>
  <c r="G13" i="1"/>
  <c r="D13" i="1"/>
  <c r="O12" i="1"/>
  <c r="I12" i="1"/>
  <c r="I22" i="1" s="1"/>
  <c r="I23" i="1" s="1"/>
  <c r="I24" i="1" s="1"/>
  <c r="H12" i="1"/>
  <c r="R11" i="1"/>
  <c r="Q11" i="1"/>
  <c r="S11" i="1" s="1"/>
  <c r="O11" i="1"/>
  <c r="P11" i="1" s="1"/>
  <c r="N11" i="1"/>
  <c r="L11" i="1"/>
  <c r="K11" i="1"/>
  <c r="M11" i="1" s="1"/>
  <c r="J11" i="1"/>
  <c r="I11" i="1"/>
  <c r="H11" i="1"/>
  <c r="G11" i="1"/>
  <c r="F11" i="1"/>
  <c r="E11" i="1"/>
  <c r="C11" i="1"/>
  <c r="B11" i="1"/>
  <c r="D11" i="1" s="1"/>
  <c r="O10" i="1"/>
  <c r="N10" i="1"/>
  <c r="L10" i="1"/>
  <c r="L12" i="1" s="1"/>
  <c r="L22" i="1" s="1"/>
  <c r="L23" i="1" s="1"/>
  <c r="L24" i="1" s="1"/>
  <c r="K10" i="1"/>
  <c r="J10" i="1"/>
  <c r="I10" i="1"/>
  <c r="H10" i="1"/>
  <c r="F10" i="1"/>
  <c r="F12" i="1" s="1"/>
  <c r="E10" i="1"/>
  <c r="C10" i="1"/>
  <c r="B10" i="1"/>
  <c r="R9" i="1"/>
  <c r="Q9" i="1"/>
  <c r="S9" i="1" s="1"/>
  <c r="P9" i="1"/>
  <c r="M9" i="1"/>
  <c r="J9" i="1"/>
  <c r="G9" i="1"/>
  <c r="D9" i="1"/>
  <c r="R8" i="1"/>
  <c r="Q8" i="1"/>
  <c r="S8" i="1" s="1"/>
  <c r="P8" i="1"/>
  <c r="M8" i="1"/>
  <c r="J8" i="1"/>
  <c r="G8" i="1"/>
  <c r="D8" i="1"/>
  <c r="G44" i="1" l="1"/>
  <c r="G16" i="1"/>
  <c r="J82" i="1"/>
  <c r="G91" i="1"/>
  <c r="H109" i="1"/>
  <c r="J108" i="1"/>
  <c r="Q108" i="1"/>
  <c r="S108" i="1" s="1"/>
  <c r="R112" i="1"/>
  <c r="R10" i="1"/>
  <c r="C12" i="1"/>
  <c r="S18" i="1"/>
  <c r="R58" i="1"/>
  <c r="S58" i="1" s="1"/>
  <c r="D58" i="1"/>
  <c r="D10" i="1"/>
  <c r="R20" i="1"/>
  <c r="O34" i="1"/>
  <c r="J36" i="1"/>
  <c r="L69" i="1"/>
  <c r="N12" i="1"/>
  <c r="P10" i="1"/>
  <c r="G14" i="1"/>
  <c r="P14" i="1"/>
  <c r="D20" i="1"/>
  <c r="J28" i="1"/>
  <c r="R40" i="1"/>
  <c r="D40" i="1"/>
  <c r="J80" i="1"/>
  <c r="M52" i="1"/>
  <c r="I121" i="1"/>
  <c r="R121" i="1" s="1"/>
  <c r="R118" i="1"/>
  <c r="D19" i="1"/>
  <c r="M19" i="1"/>
  <c r="R29" i="1"/>
  <c r="S29" i="1" s="1"/>
  <c r="R41" i="1"/>
  <c r="L52" i="1"/>
  <c r="S66" i="1"/>
  <c r="J118" i="1"/>
  <c r="N34" i="1"/>
  <c r="P27" i="1"/>
  <c r="Q80" i="1"/>
  <c r="E34" i="1"/>
  <c r="G27" i="1"/>
  <c r="G31" i="1"/>
  <c r="S40" i="1"/>
  <c r="R47" i="1"/>
  <c r="R83" i="1"/>
  <c r="D85" i="1"/>
  <c r="Q85" i="1"/>
  <c r="S85" i="1" s="1"/>
  <c r="B94" i="1"/>
  <c r="N21" i="1"/>
  <c r="B44" i="1"/>
  <c r="D36" i="1"/>
  <c r="J55" i="1"/>
  <c r="C44" i="1"/>
  <c r="R44" i="1" s="1"/>
  <c r="Q71" i="1"/>
  <c r="B75" i="1"/>
  <c r="D71" i="1"/>
  <c r="L94" i="1"/>
  <c r="B12" i="1"/>
  <c r="D16" i="1"/>
  <c r="M16" i="1"/>
  <c r="Q16" i="1"/>
  <c r="S16" i="1" s="1"/>
  <c r="B21" i="1"/>
  <c r="E21" i="1"/>
  <c r="G21" i="1" s="1"/>
  <c r="D28" i="1"/>
  <c r="K34" i="1"/>
  <c r="G37" i="1"/>
  <c r="D39" i="1"/>
  <c r="R46" i="1"/>
  <c r="M46" i="1"/>
  <c r="O69" i="1"/>
  <c r="C94" i="1"/>
  <c r="M89" i="1"/>
  <c r="K91" i="1"/>
  <c r="Q89" i="1"/>
  <c r="S92" i="1"/>
  <c r="S98" i="1"/>
  <c r="M98" i="1"/>
  <c r="Q99" i="1"/>
  <c r="S99" i="1" s="1"/>
  <c r="R114" i="1"/>
  <c r="G18" i="1"/>
  <c r="S20" i="1"/>
  <c r="F34" i="1"/>
  <c r="N44" i="1"/>
  <c r="D47" i="1"/>
  <c r="M71" i="1"/>
  <c r="K75" i="1"/>
  <c r="M75" i="1" s="1"/>
  <c r="F22" i="1"/>
  <c r="F23" i="1" s="1"/>
  <c r="F24" i="1" s="1"/>
  <c r="C21" i="1"/>
  <c r="R21" i="1" s="1"/>
  <c r="H34" i="1"/>
  <c r="Q34" i="1" s="1"/>
  <c r="S30" i="1"/>
  <c r="S43" i="1"/>
  <c r="P69" i="1"/>
  <c r="R18" i="1"/>
  <c r="Q27" i="1"/>
  <c r="Q38" i="1"/>
  <c r="S38" i="1" s="1"/>
  <c r="R50" i="1"/>
  <c r="S50" i="1" s="1"/>
  <c r="S57" i="1"/>
  <c r="P59" i="1"/>
  <c r="Q59" i="1"/>
  <c r="R67" i="1"/>
  <c r="S67" i="1" s="1"/>
  <c r="D67" i="1"/>
  <c r="R68" i="1"/>
  <c r="S68" i="1" s="1"/>
  <c r="D68" i="1"/>
  <c r="D72" i="1"/>
  <c r="R72" i="1"/>
  <c r="S72" i="1" s="1"/>
  <c r="F116" i="1"/>
  <c r="R36" i="1"/>
  <c r="J44" i="1"/>
  <c r="R59" i="1"/>
  <c r="D59" i="1"/>
  <c r="M10" i="1"/>
  <c r="J12" i="1"/>
  <c r="O21" i="1"/>
  <c r="O22" i="1" s="1"/>
  <c r="O23" i="1" s="1"/>
  <c r="O24" i="1" s="1"/>
  <c r="G42" i="1"/>
  <c r="E12" i="1"/>
  <c r="G10" i="1"/>
  <c r="J52" i="1"/>
  <c r="S41" i="1"/>
  <c r="O44" i="1"/>
  <c r="M54" i="1"/>
  <c r="R54" i="1"/>
  <c r="S54" i="1" s="1"/>
  <c r="R16" i="1"/>
  <c r="Q10" i="1"/>
  <c r="S10" i="1" s="1"/>
  <c r="K12" i="1"/>
  <c r="R27" i="1"/>
  <c r="R33" i="1"/>
  <c r="S33" i="1" s="1"/>
  <c r="Q36" i="1"/>
  <c r="R38" i="1"/>
  <c r="E52" i="1"/>
  <c r="G52" i="1" s="1"/>
  <c r="G46" i="1"/>
  <c r="O52" i="1"/>
  <c r="P52" i="1" s="1"/>
  <c r="C52" i="1"/>
  <c r="G56" i="1"/>
  <c r="F69" i="1"/>
  <c r="G57" i="1"/>
  <c r="R73" i="1"/>
  <c r="S73" i="1" s="1"/>
  <c r="D92" i="1"/>
  <c r="D98" i="1"/>
  <c r="S104" i="1"/>
  <c r="S86" i="1"/>
  <c r="B121" i="1"/>
  <c r="D118" i="1"/>
  <c r="Q14" i="1"/>
  <c r="Q31" i="1"/>
  <c r="S31" i="1" s="1"/>
  <c r="Q37" i="1"/>
  <c r="S37" i="1" s="1"/>
  <c r="Q42" i="1"/>
  <c r="S42" i="1" s="1"/>
  <c r="Q47" i="1"/>
  <c r="R49" i="1"/>
  <c r="S49" i="1" s="1"/>
  <c r="K69" i="1"/>
  <c r="M69" i="1" s="1"/>
  <c r="M66" i="1"/>
  <c r="N75" i="1"/>
  <c r="R77" i="1"/>
  <c r="C80" i="1"/>
  <c r="R80" i="1" s="1"/>
  <c r="P77" i="1"/>
  <c r="J79" i="1"/>
  <c r="Q82" i="1"/>
  <c r="M84" i="1"/>
  <c r="O116" i="1"/>
  <c r="Q101" i="1"/>
  <c r="S101" i="1" s="1"/>
  <c r="R105" i="1"/>
  <c r="R111" i="1"/>
  <c r="M111" i="1"/>
  <c r="J113" i="1"/>
  <c r="J114" i="1"/>
  <c r="Q114" i="1"/>
  <c r="S114" i="1" s="1"/>
  <c r="F125" i="1"/>
  <c r="G125" i="1" s="1"/>
  <c r="G123" i="1"/>
  <c r="Q125" i="1"/>
  <c r="S125" i="1" s="1"/>
  <c r="S124" i="1"/>
  <c r="Q55" i="1"/>
  <c r="S55" i="1" s="1"/>
  <c r="P55" i="1"/>
  <c r="R64" i="1"/>
  <c r="S64" i="1" s="1"/>
  <c r="C75" i="1"/>
  <c r="R14" i="1"/>
  <c r="H21" i="1"/>
  <c r="J21" i="1" s="1"/>
  <c r="P46" i="1"/>
  <c r="R51" i="1"/>
  <c r="S51" i="1" s="1"/>
  <c r="O75" i="1"/>
  <c r="Q74" i="1"/>
  <c r="S74" i="1" s="1"/>
  <c r="N94" i="1"/>
  <c r="P94" i="1" s="1"/>
  <c r="R89" i="1"/>
  <c r="D93" i="1"/>
  <c r="R93" i="1"/>
  <c r="D96" i="1"/>
  <c r="Q96" i="1"/>
  <c r="S96" i="1" s="1"/>
  <c r="G99" i="1"/>
  <c r="E116" i="1"/>
  <c r="G116" i="1" s="1"/>
  <c r="M104" i="1"/>
  <c r="K109" i="1"/>
  <c r="D106" i="1"/>
  <c r="Q106" i="1"/>
  <c r="S106" i="1" s="1"/>
  <c r="Q115" i="1"/>
  <c r="S115" i="1" s="1"/>
  <c r="G115" i="1"/>
  <c r="R91" i="1"/>
  <c r="I109" i="1"/>
  <c r="R109" i="1" s="1"/>
  <c r="M36" i="1"/>
  <c r="Q46" i="1"/>
  <c r="H69" i="1"/>
  <c r="J69" i="1" s="1"/>
  <c r="J54" i="1"/>
  <c r="R60" i="1"/>
  <c r="S60" i="1" s="1"/>
  <c r="D65" i="1"/>
  <c r="G69" i="1"/>
  <c r="Q69" i="1"/>
  <c r="R71" i="1"/>
  <c r="G77" i="1"/>
  <c r="F80" i="1"/>
  <c r="G80" i="1" s="1"/>
  <c r="R78" i="1"/>
  <c r="E94" i="1"/>
  <c r="G94" i="1" s="1"/>
  <c r="O94" i="1"/>
  <c r="D84" i="1"/>
  <c r="H91" i="1"/>
  <c r="J91" i="1" s="1"/>
  <c r="J88" i="1"/>
  <c r="R90" i="1"/>
  <c r="S90" i="1" s="1"/>
  <c r="P91" i="1"/>
  <c r="R96" i="1"/>
  <c r="D97" i="1"/>
  <c r="Q97" i="1"/>
  <c r="S97" i="1" s="1"/>
  <c r="H116" i="1"/>
  <c r="Q100" i="1"/>
  <c r="S100" i="1" s="1"/>
  <c r="B109" i="1"/>
  <c r="B116" i="1" s="1"/>
  <c r="D104" i="1"/>
  <c r="L109" i="1"/>
  <c r="L116" i="1" s="1"/>
  <c r="L126" i="1" s="1"/>
  <c r="L127" i="1" s="1"/>
  <c r="L128" i="1" s="1"/>
  <c r="R106" i="1"/>
  <c r="G111" i="1"/>
  <c r="E113" i="1"/>
  <c r="G113" i="1" s="1"/>
  <c r="Q111" i="1"/>
  <c r="K113" i="1"/>
  <c r="M113" i="1" s="1"/>
  <c r="M112" i="1"/>
  <c r="C116" i="1"/>
  <c r="Q118" i="1"/>
  <c r="C69" i="1"/>
  <c r="G83" i="1"/>
  <c r="Q83" i="1"/>
  <c r="P93" i="1"/>
  <c r="Q93" i="1"/>
  <c r="S93" i="1" s="1"/>
  <c r="J27" i="1"/>
  <c r="G33" i="1"/>
  <c r="I69" i="1"/>
  <c r="D56" i="1"/>
  <c r="R56" i="1"/>
  <c r="S56" i="1" s="1"/>
  <c r="R61" i="1"/>
  <c r="S61" i="1" s="1"/>
  <c r="D61" i="1"/>
  <c r="G74" i="1"/>
  <c r="E75" i="1"/>
  <c r="G75" i="1" s="1"/>
  <c r="S78" i="1"/>
  <c r="F94" i="1"/>
  <c r="R82" i="1"/>
  <c r="P82" i="1"/>
  <c r="D90" i="1"/>
  <c r="M92" i="1"/>
  <c r="B113" i="1"/>
  <c r="D112" i="1"/>
  <c r="Q112" i="1"/>
  <c r="S112" i="1" s="1"/>
  <c r="H121" i="1"/>
  <c r="J120" i="1"/>
  <c r="I75" i="1"/>
  <c r="J75" i="1" s="1"/>
  <c r="P96" i="1"/>
  <c r="J99" i="1"/>
  <c r="D114" i="1"/>
  <c r="K121" i="1"/>
  <c r="M121" i="1" s="1"/>
  <c r="M123" i="1"/>
  <c r="D124" i="1"/>
  <c r="D54" i="1"/>
  <c r="D82" i="1"/>
  <c r="D88" i="1"/>
  <c r="Q102" i="1"/>
  <c r="S102" i="1" s="1"/>
  <c r="G104" i="1"/>
  <c r="Q105" i="1"/>
  <c r="N113" i="1"/>
  <c r="P113" i="1" s="1"/>
  <c r="G118" i="1"/>
  <c r="M124" i="1"/>
  <c r="C125" i="1"/>
  <c r="R125" i="1" s="1"/>
  <c r="P88" i="1"/>
  <c r="P124" i="1"/>
  <c r="Q77" i="1"/>
  <c r="J123" i="1"/>
  <c r="D116" i="1" l="1"/>
  <c r="F126" i="1"/>
  <c r="F127" i="1" s="1"/>
  <c r="F128" i="1" s="1"/>
  <c r="R34" i="1"/>
  <c r="S34" i="1" s="1"/>
  <c r="S111" i="1"/>
  <c r="Q91" i="1"/>
  <c r="S91" i="1" s="1"/>
  <c r="J121" i="1"/>
  <c r="D80" i="1"/>
  <c r="P75" i="1"/>
  <c r="S14" i="1"/>
  <c r="E22" i="1"/>
  <c r="G12" i="1"/>
  <c r="S27" i="1"/>
  <c r="M91" i="1"/>
  <c r="K94" i="1"/>
  <c r="M94" i="1" s="1"/>
  <c r="D12" i="1"/>
  <c r="B22" i="1"/>
  <c r="Q12" i="1"/>
  <c r="S12" i="1" s="1"/>
  <c r="D44" i="1"/>
  <c r="Q44" i="1"/>
  <c r="S44" i="1" s="1"/>
  <c r="N22" i="1"/>
  <c r="P12" i="1"/>
  <c r="R69" i="1"/>
  <c r="D69" i="1"/>
  <c r="S36" i="1"/>
  <c r="K126" i="1"/>
  <c r="M126" i="1" s="1"/>
  <c r="M34" i="1"/>
  <c r="P21" i="1"/>
  <c r="C22" i="1"/>
  <c r="R12" i="1"/>
  <c r="H94" i="1"/>
  <c r="J94" i="1" s="1"/>
  <c r="I116" i="1"/>
  <c r="I126" i="1" s="1"/>
  <c r="I127" i="1" s="1"/>
  <c r="I128" i="1" s="1"/>
  <c r="D125" i="1"/>
  <c r="S89" i="1"/>
  <c r="S105" i="1"/>
  <c r="S118" i="1"/>
  <c r="S82" i="1"/>
  <c r="Q121" i="1"/>
  <c r="S121" i="1" s="1"/>
  <c r="D121" i="1"/>
  <c r="R94" i="1"/>
  <c r="Q94" i="1"/>
  <c r="S94" i="1" s="1"/>
  <c r="D94" i="1"/>
  <c r="E126" i="1"/>
  <c r="G126" i="1" s="1"/>
  <c r="G34" i="1"/>
  <c r="S77" i="1"/>
  <c r="D113" i="1"/>
  <c r="Q113" i="1"/>
  <c r="S113" i="1" s="1"/>
  <c r="S46" i="1"/>
  <c r="C126" i="1"/>
  <c r="B126" i="1"/>
  <c r="S59" i="1"/>
  <c r="N116" i="1"/>
  <c r="P116" i="1" s="1"/>
  <c r="Q75" i="1"/>
  <c r="S75" i="1" s="1"/>
  <c r="D75" i="1"/>
  <c r="S80" i="1"/>
  <c r="O126" i="1"/>
  <c r="O127" i="1" s="1"/>
  <c r="O128" i="1" s="1"/>
  <c r="S69" i="1"/>
  <c r="H22" i="1"/>
  <c r="P34" i="1"/>
  <c r="S83" i="1"/>
  <c r="M12" i="1"/>
  <c r="K22" i="1"/>
  <c r="H126" i="1"/>
  <c r="J34" i="1"/>
  <c r="J109" i="1"/>
  <c r="R75" i="1"/>
  <c r="Q109" i="1"/>
  <c r="S109" i="1" s="1"/>
  <c r="D109" i="1"/>
  <c r="M109" i="1"/>
  <c r="K116" i="1"/>
  <c r="M116" i="1" s="1"/>
  <c r="S47" i="1"/>
  <c r="R52" i="1"/>
  <c r="D52" i="1"/>
  <c r="P44" i="1"/>
  <c r="Q21" i="1"/>
  <c r="S21" i="1" s="1"/>
  <c r="D21" i="1"/>
  <c r="S71" i="1"/>
  <c r="Q52" i="1"/>
  <c r="J22" i="1" l="1"/>
  <c r="H23" i="1"/>
  <c r="R126" i="1"/>
  <c r="S52" i="1"/>
  <c r="B23" i="1"/>
  <c r="D22" i="1"/>
  <c r="Q22" i="1"/>
  <c r="S22" i="1" s="1"/>
  <c r="J116" i="1"/>
  <c r="D126" i="1"/>
  <c r="J126" i="1"/>
  <c r="K23" i="1"/>
  <c r="M22" i="1"/>
  <c r="R116" i="1"/>
  <c r="Q116" i="1"/>
  <c r="S116" i="1" s="1"/>
  <c r="E23" i="1"/>
  <c r="G22" i="1"/>
  <c r="N126" i="1"/>
  <c r="P126" i="1" s="1"/>
  <c r="C23" i="1"/>
  <c r="R22" i="1"/>
  <c r="N23" i="1"/>
  <c r="P22" i="1"/>
  <c r="E24" i="1" l="1"/>
  <c r="G23" i="1"/>
  <c r="N24" i="1"/>
  <c r="P23" i="1"/>
  <c r="B24" i="1"/>
  <c r="D23" i="1"/>
  <c r="Q23" i="1"/>
  <c r="S23" i="1" s="1"/>
  <c r="K24" i="1"/>
  <c r="M23" i="1"/>
  <c r="C24" i="1"/>
  <c r="R23" i="1"/>
  <c r="Q126" i="1"/>
  <c r="S126" i="1" s="1"/>
  <c r="J23" i="1"/>
  <c r="H24" i="1"/>
  <c r="K127" i="1" l="1"/>
  <c r="M24" i="1"/>
  <c r="H127" i="1"/>
  <c r="J24" i="1"/>
  <c r="B127" i="1"/>
  <c r="D24" i="1"/>
  <c r="Q24" i="1"/>
  <c r="S24" i="1" s="1"/>
  <c r="N127" i="1"/>
  <c r="P24" i="1"/>
  <c r="C127" i="1"/>
  <c r="R24" i="1"/>
  <c r="E127" i="1"/>
  <c r="G24" i="1"/>
  <c r="K128" i="1" l="1"/>
  <c r="M128" i="1" s="1"/>
  <c r="M127" i="1"/>
  <c r="N128" i="1"/>
  <c r="P128" i="1" s="1"/>
  <c r="P127" i="1"/>
  <c r="B128" i="1"/>
  <c r="D127" i="1"/>
  <c r="Q127" i="1"/>
  <c r="S127" i="1" s="1"/>
  <c r="E128" i="1"/>
  <c r="G128" i="1" s="1"/>
  <c r="G127" i="1"/>
  <c r="H128" i="1"/>
  <c r="J128" i="1" s="1"/>
  <c r="J127" i="1"/>
  <c r="C128" i="1"/>
  <c r="R128" i="1" s="1"/>
  <c r="R127" i="1"/>
  <c r="Q128" i="1" l="1"/>
  <c r="S128" i="1" s="1"/>
  <c r="D128" i="1"/>
</calcChain>
</file>

<file path=xl/sharedStrings.xml><?xml version="1.0" encoding="utf-8"?>
<sst xmlns="http://schemas.openxmlformats.org/spreadsheetml/2006/main" count="150" uniqueCount="135">
  <si>
    <t>Jan 2025</t>
  </si>
  <si>
    <t>Feb 2025</t>
  </si>
  <si>
    <t>Mar 2025</t>
  </si>
  <si>
    <t>Apr 2025</t>
  </si>
  <si>
    <t>May 2025</t>
  </si>
  <si>
    <t>Total</t>
  </si>
  <si>
    <t>Actual</t>
  </si>
  <si>
    <t>Budget</t>
  </si>
  <si>
    <t>over Budget</t>
  </si>
  <si>
    <t>Revenue</t>
  </si>
  <si>
    <t xml:space="preserve">   4000 Income</t>
  </si>
  <si>
    <t xml:space="preserve">      4100 Offerings</t>
  </si>
  <si>
    <t xml:space="preserve">         4110 Regular/Pledged</t>
  </si>
  <si>
    <t xml:space="preserve">         4120 Plate</t>
  </si>
  <si>
    <t xml:space="preserve">      Total 4100 Offerings</t>
  </si>
  <si>
    <t xml:space="preserve">      4200 Good Shepherd Day Care</t>
  </si>
  <si>
    <t xml:space="preserve">         4210 Expenses Reimbursement</t>
  </si>
  <si>
    <t xml:space="preserve">         4220 Special Payment</t>
  </si>
  <si>
    <t xml:space="preserve">      Total 4200 Good Shepherd Day Care</t>
  </si>
  <si>
    <t xml:space="preserve">      4300 Other Income</t>
  </si>
  <si>
    <t xml:space="preserve">         4310 Building Use</t>
  </si>
  <si>
    <t xml:space="preserve">         4320 Solar TREC</t>
  </si>
  <si>
    <t xml:space="preserve">         4330 Trfr - Weidner Endowment</t>
  </si>
  <si>
    <t xml:space="preserve">      Total 4300 Other Income</t>
  </si>
  <si>
    <t xml:space="preserve">   Total 4000 Income</t>
  </si>
  <si>
    <t>Total Revenue</t>
  </si>
  <si>
    <t>Gross Profit</t>
  </si>
  <si>
    <t>Expenditures</t>
  </si>
  <si>
    <t xml:space="preserve">   5100 Pastoral Ministry</t>
  </si>
  <si>
    <t xml:space="preserve">      5110 Pastor Compensation</t>
  </si>
  <si>
    <t xml:space="preserve">      5111 Pastor Benefits</t>
  </si>
  <si>
    <t xml:space="preserve">      5112 Pastor Professional Expense</t>
  </si>
  <si>
    <t xml:space="preserve">      5120 Deacon Compensation</t>
  </si>
  <si>
    <t xml:space="preserve">      5121 Deacon Social Security</t>
  </si>
  <si>
    <t xml:space="preserve">      5122 Deacon Professional Expense</t>
  </si>
  <si>
    <t xml:space="preserve">      5170 Guest Preacher</t>
  </si>
  <si>
    <t xml:space="preserve">   Total 5100 Pastoral Ministry</t>
  </si>
  <si>
    <t xml:space="preserve">   5200 Worship</t>
  </si>
  <si>
    <t xml:space="preserve">      5210 Music Director Compensation</t>
  </si>
  <si>
    <t xml:space="preserve">      5211 Music Director Social Security</t>
  </si>
  <si>
    <t xml:space="preserve">      5215 Sunday Morn Assist Compensation</t>
  </si>
  <si>
    <t xml:space="preserve">      5216 Sunday Morn Assist Social Security</t>
  </si>
  <si>
    <t xml:space="preserve">      5220 Other Musician Compensation</t>
  </si>
  <si>
    <t xml:space="preserve">      5221 Other Musician Social Security</t>
  </si>
  <si>
    <t xml:space="preserve">      5230 Music &amp; Supplies</t>
  </si>
  <si>
    <t xml:space="preserve">      5240 Music Equipment Maintenance</t>
  </si>
  <si>
    <t xml:space="preserve">   Total 5200 Worship</t>
  </si>
  <si>
    <t xml:space="preserve">   5300 Benevolence</t>
  </si>
  <si>
    <t xml:space="preserve">      5310 Synod Mission Support</t>
  </si>
  <si>
    <t xml:space="preserve">      5320 Crossroads Camp &amp; Retreat</t>
  </si>
  <si>
    <t xml:space="preserve">      5330 Lutheran Social Ministries</t>
  </si>
  <si>
    <t xml:space="preserve">      5335 ELCA World Hunger</t>
  </si>
  <si>
    <t xml:space="preserve">      5340 Lutheran Disaster Response</t>
  </si>
  <si>
    <t xml:space="preserve">      5345 Global Refuge</t>
  </si>
  <si>
    <t xml:space="preserve">   Total 5300 Benevolence</t>
  </si>
  <si>
    <t xml:space="preserve">   5400 Community Social Ministry</t>
  </si>
  <si>
    <t xml:space="preserve">      5410 General Giving Funding</t>
  </si>
  <si>
    <t xml:space="preserve">      5411 Middle Earth</t>
  </si>
  <si>
    <t xml:space="preserve">      5413 Visions and Pathways</t>
  </si>
  <si>
    <t xml:space="preserve">      5414 Food Bank</t>
  </si>
  <si>
    <t xml:space="preserve">      5415 S.H.I.P</t>
  </si>
  <si>
    <t xml:space="preserve">      5416 Giving Network</t>
  </si>
  <si>
    <t xml:space="preserve">      5417 Safe and Sound Somerset</t>
  </si>
  <si>
    <t xml:space="preserve">      5418 Somerville Rescue Squad</t>
  </si>
  <si>
    <t xml:space="preserve">      5419 Somerville Fire Department</t>
  </si>
  <si>
    <t xml:space="preserve">      5420 FISH</t>
  </si>
  <si>
    <t xml:space="preserve">      5421 HOME of Somerset County</t>
  </si>
  <si>
    <t xml:space="preserve">      5422 Habitat for Humanity</t>
  </si>
  <si>
    <t xml:space="preserve">      5423 Weekend Food Packs</t>
  </si>
  <si>
    <t xml:space="preserve">      5424 GSLC Food Pantry</t>
  </si>
  <si>
    <t xml:space="preserve">      5425 Weidner Endowment Program</t>
  </si>
  <si>
    <t xml:space="preserve">   Total 5400 Community Social Ministry</t>
  </si>
  <si>
    <t xml:space="preserve">   5500 Church Family Ministry</t>
  </si>
  <si>
    <t xml:space="preserve">      5510 Education Funding</t>
  </si>
  <si>
    <t xml:space="preserve">      5520 Young Adults</t>
  </si>
  <si>
    <t xml:space="preserve">      5530 ELCA National Youth Gathering</t>
  </si>
  <si>
    <t xml:space="preserve">      5540 Hospitality</t>
  </si>
  <si>
    <t xml:space="preserve">   Total 5500 Church Family Ministry</t>
  </si>
  <si>
    <t xml:space="preserve">   5600 Witness/Evangelism</t>
  </si>
  <si>
    <t xml:space="preserve">      5610 Caring Funding</t>
  </si>
  <si>
    <t xml:space="preserve">      5620 Publicity &amp; Advertising</t>
  </si>
  <si>
    <t xml:space="preserve">      5630 Living Nativity</t>
  </si>
  <si>
    <t xml:space="preserve">   Total 5600 Witness/Evangelism</t>
  </si>
  <si>
    <t xml:space="preserve">   5700 Administration</t>
  </si>
  <si>
    <t xml:space="preserve">      5715 Office Administrator Compensation</t>
  </si>
  <si>
    <t xml:space="preserve">      5716 Office Administrator Social Security</t>
  </si>
  <si>
    <t xml:space="preserve">      5717 Office Administrator Benefits</t>
  </si>
  <si>
    <t xml:space="preserve">      5750 Office Equip Lease, Maintenance</t>
  </si>
  <si>
    <t xml:space="preserve">      5755 Office Supplies</t>
  </si>
  <si>
    <t xml:space="preserve">      5760 Computer</t>
  </si>
  <si>
    <t xml:space="preserve">         5761 Software</t>
  </si>
  <si>
    <t xml:space="preserve">         5762 Hardware</t>
  </si>
  <si>
    <t xml:space="preserve">         5763 Emergency Support</t>
  </si>
  <si>
    <t xml:space="preserve">      Total 5760 Computer</t>
  </si>
  <si>
    <t xml:space="preserve">      5770 Telephones, Internet</t>
  </si>
  <si>
    <t xml:space="preserve">      5780 Postage</t>
  </si>
  <si>
    <t xml:space="preserve">   Total 5700 Administration</t>
  </si>
  <si>
    <t xml:space="preserve">   5800 Property</t>
  </si>
  <si>
    <t xml:space="preserve">      5810 Custodian Compensation AR</t>
  </si>
  <si>
    <t xml:space="preserve">      5811 Custodian Social Security AR</t>
  </si>
  <si>
    <t xml:space="preserve">      5812 Custodian Benefits AR</t>
  </si>
  <si>
    <t xml:space="preserve">      5815 Custodial Comp LMB</t>
  </si>
  <si>
    <t xml:space="preserve">      5816 Custodial Soc Sec LMB</t>
  </si>
  <si>
    <t xml:space="preserve">      5818 Custodial Assist Comp CFS</t>
  </si>
  <si>
    <t xml:space="preserve">      5819 Custodial Assist Soc Sec CFS</t>
  </si>
  <si>
    <t xml:space="preserve">      5830 Property Contracts</t>
  </si>
  <si>
    <t xml:space="preserve">         5831 Cleaning</t>
  </si>
  <si>
    <t xml:space="preserve">         5832 Lawn Maintenance</t>
  </si>
  <si>
    <t xml:space="preserve">         5833 Snow Removal</t>
  </si>
  <si>
    <t xml:space="preserve">         5834 Exterminator</t>
  </si>
  <si>
    <t xml:space="preserve">         5835 Security</t>
  </si>
  <si>
    <t xml:space="preserve">      Total 5830 Property Contracts</t>
  </si>
  <si>
    <t xml:space="preserve">      5840 Utilities</t>
  </si>
  <si>
    <t xml:space="preserve">         5841 Gas &amp; Electric</t>
  </si>
  <si>
    <t xml:space="preserve">         5842 Water &amp; Sewer</t>
  </si>
  <si>
    <t xml:space="preserve">      Total 5840 Utilities</t>
  </si>
  <si>
    <t xml:space="preserve">      5850 Repairs &amp; Maintenance</t>
  </si>
  <si>
    <t xml:space="preserve">      5860 Janitorial Supplies</t>
  </si>
  <si>
    <t xml:space="preserve">   Total 5800 Property</t>
  </si>
  <si>
    <t xml:space="preserve">   5900 Finance</t>
  </si>
  <si>
    <t xml:space="preserve">      5910 Mortgage Interest</t>
  </si>
  <si>
    <t xml:space="preserve">      5920 Insurance</t>
  </si>
  <si>
    <t xml:space="preserve">      5930 Payroll Expense</t>
  </si>
  <si>
    <t xml:space="preserve">   Total 5900 Finance</t>
  </si>
  <si>
    <t xml:space="preserve">   6000 Stewardship</t>
  </si>
  <si>
    <t xml:space="preserve">      6010 Stewardship Supplies</t>
  </si>
  <si>
    <t xml:space="preserve">      6020 Credit Card Trans Fees</t>
  </si>
  <si>
    <t xml:space="preserve">   Total 6000 Stewardship</t>
  </si>
  <si>
    <t>Total Expenditures</t>
  </si>
  <si>
    <t>Net Operating Revenue</t>
  </si>
  <si>
    <t>Net Revenue</t>
  </si>
  <si>
    <t>Thursday, Jun 05, 2025 11:52:59 AM GMT-7 - Accrual Basis</t>
  </si>
  <si>
    <t>Good Shepherd Lutheran Church</t>
  </si>
  <si>
    <t xml:space="preserve">Budget vs. Actuals: Budget_FY25_P&amp;L - FY25 P&amp;L </t>
  </si>
  <si>
    <t>January - May,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</si>
</sst>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tabSelected="1" workbookViewId="0">
      <selection sqref="A1:S1"/>
    </sheetView>
  </sheetViews>
  <sheetFormatPr defaultRowHeight="14.4" x14ac:dyDescent="0.3"/>
  <cols>
    <col min="1" max="1" width="41.21875" customWidth="1"/>
    <col min="2" max="3" width="9.44140625" customWidth="1"/>
    <col min="4" max="6" width="10.33203125" customWidth="1"/>
    <col min="7" max="7" width="8.5546875" customWidth="1"/>
    <col min="8" max="8" width="9.44140625" customWidth="1"/>
    <col min="9" max="10" width="10.33203125" customWidth="1"/>
    <col min="11" max="12" width="9.44140625" customWidth="1"/>
    <col min="13" max="13" width="8.5546875" customWidth="1"/>
    <col min="14" max="14" width="11.21875" customWidth="1"/>
    <col min="15" max="15" width="9.44140625" customWidth="1"/>
    <col min="16" max="16" width="11.21875" customWidth="1"/>
    <col min="17" max="19" width="10.33203125" customWidth="1"/>
  </cols>
  <sheetData>
    <row r="1" spans="1:19" ht="17.399999999999999" x14ac:dyDescent="0.3">
      <c r="A1" s="12" t="s">
        <v>132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7.399999999999999" x14ac:dyDescent="0.3">
      <c r="A2" s="12" t="s">
        <v>133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3">
      <c r="A3" s="13" t="s">
        <v>134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5" spans="1:19" x14ac:dyDescent="0.3">
      <c r="A5" s="1"/>
      <c r="B5" s="8" t="s">
        <v>0</v>
      </c>
      <c r="C5" s="9"/>
      <c r="D5" s="9"/>
      <c r="E5" s="8" t="s">
        <v>1</v>
      </c>
      <c r="F5" s="9"/>
      <c r="G5" s="9"/>
      <c r="H5" s="8" t="s">
        <v>2</v>
      </c>
      <c r="I5" s="9"/>
      <c r="J5" s="9"/>
      <c r="K5" s="8" t="s">
        <v>3</v>
      </c>
      <c r="L5" s="9"/>
      <c r="M5" s="9"/>
      <c r="N5" s="8" t="s">
        <v>4</v>
      </c>
      <c r="O5" s="9"/>
      <c r="P5" s="9"/>
      <c r="Q5" s="8" t="s">
        <v>5</v>
      </c>
      <c r="R5" s="9"/>
      <c r="S5" s="9"/>
    </row>
    <row r="6" spans="1:19" ht="24.6" x14ac:dyDescent="0.3">
      <c r="A6" s="1"/>
      <c r="B6" s="2" t="s">
        <v>6</v>
      </c>
      <c r="C6" s="2" t="s">
        <v>7</v>
      </c>
      <c r="D6" s="2" t="s">
        <v>8</v>
      </c>
      <c r="E6" s="2" t="s">
        <v>6</v>
      </c>
      <c r="F6" s="2" t="s">
        <v>7</v>
      </c>
      <c r="G6" s="2" t="s">
        <v>8</v>
      </c>
      <c r="H6" s="2" t="s">
        <v>6</v>
      </c>
      <c r="I6" s="2" t="s">
        <v>7</v>
      </c>
      <c r="J6" s="2" t="s">
        <v>8</v>
      </c>
      <c r="K6" s="2" t="s">
        <v>6</v>
      </c>
      <c r="L6" s="2" t="s">
        <v>7</v>
      </c>
      <c r="M6" s="2" t="s">
        <v>8</v>
      </c>
      <c r="N6" s="2" t="s">
        <v>6</v>
      </c>
      <c r="O6" s="2" t="s">
        <v>7</v>
      </c>
      <c r="P6" s="2" t="s">
        <v>8</v>
      </c>
      <c r="Q6" s="2" t="s">
        <v>6</v>
      </c>
      <c r="R6" s="2" t="s">
        <v>7</v>
      </c>
      <c r="S6" s="2" t="s">
        <v>8</v>
      </c>
    </row>
    <row r="7" spans="1:19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3">
      <c r="A8" s="3" t="s">
        <v>10</v>
      </c>
      <c r="B8" s="4"/>
      <c r="C8" s="4"/>
      <c r="D8" s="5">
        <f t="shared" ref="D8:D24" si="0">(B8)-(C8)</f>
        <v>0</v>
      </c>
      <c r="E8" s="4"/>
      <c r="F8" s="4"/>
      <c r="G8" s="5">
        <f t="shared" ref="G8:G24" si="1">(E8)-(F8)</f>
        <v>0</v>
      </c>
      <c r="H8" s="4"/>
      <c r="I8" s="4"/>
      <c r="J8" s="5">
        <f t="shared" ref="J8:J24" si="2">(H8)-(I8)</f>
        <v>0</v>
      </c>
      <c r="K8" s="4"/>
      <c r="L8" s="4"/>
      <c r="M8" s="5">
        <f t="shared" ref="M8:M24" si="3">(K8)-(L8)</f>
        <v>0</v>
      </c>
      <c r="N8" s="4"/>
      <c r="O8" s="4"/>
      <c r="P8" s="5">
        <f t="shared" ref="P8:P24" si="4">(N8)-(O8)</f>
        <v>0</v>
      </c>
      <c r="Q8" s="5">
        <f t="shared" ref="Q8:Q24" si="5">((((B8)+(E8))+(H8))+(K8))+(N8)</f>
        <v>0</v>
      </c>
      <c r="R8" s="5">
        <f t="shared" ref="R8:R24" si="6">((((C8)+(F8))+(I8))+(L8))+(O8)</f>
        <v>0</v>
      </c>
      <c r="S8" s="5">
        <f t="shared" ref="S8:S24" si="7">(Q8)-(R8)</f>
        <v>0</v>
      </c>
    </row>
    <row r="9" spans="1:19" x14ac:dyDescent="0.3">
      <c r="A9" s="3" t="s">
        <v>11</v>
      </c>
      <c r="B9" s="4"/>
      <c r="C9" s="4"/>
      <c r="D9" s="5">
        <f t="shared" si="0"/>
        <v>0</v>
      </c>
      <c r="E9" s="4"/>
      <c r="F9" s="4"/>
      <c r="G9" s="5">
        <f t="shared" si="1"/>
        <v>0</v>
      </c>
      <c r="H9" s="4"/>
      <c r="I9" s="4"/>
      <c r="J9" s="5">
        <f t="shared" si="2"/>
        <v>0</v>
      </c>
      <c r="K9" s="4"/>
      <c r="L9" s="4"/>
      <c r="M9" s="5">
        <f t="shared" si="3"/>
        <v>0</v>
      </c>
      <c r="N9" s="4"/>
      <c r="O9" s="4"/>
      <c r="P9" s="5">
        <f t="shared" si="4"/>
        <v>0</v>
      </c>
      <c r="Q9" s="5">
        <f t="shared" si="5"/>
        <v>0</v>
      </c>
      <c r="R9" s="5">
        <f t="shared" si="6"/>
        <v>0</v>
      </c>
      <c r="S9" s="5">
        <f t="shared" si="7"/>
        <v>0</v>
      </c>
    </row>
    <row r="10" spans="1:19" x14ac:dyDescent="0.3">
      <c r="A10" s="3" t="s">
        <v>12</v>
      </c>
      <c r="B10" s="5">
        <f>44736.94</f>
        <v>44736.94</v>
      </c>
      <c r="C10" s="5">
        <f>39104.5</f>
        <v>39104.5</v>
      </c>
      <c r="D10" s="5">
        <f t="shared" si="0"/>
        <v>5632.4400000000023</v>
      </c>
      <c r="E10" s="5">
        <f>48195.39</f>
        <v>48195.39</v>
      </c>
      <c r="F10" s="5">
        <f>39104.5</f>
        <v>39104.5</v>
      </c>
      <c r="G10" s="5">
        <f t="shared" si="1"/>
        <v>9090.89</v>
      </c>
      <c r="H10" s="5">
        <f>49719.97</f>
        <v>49719.97</v>
      </c>
      <c r="I10" s="5">
        <f>39104.5</f>
        <v>39104.5</v>
      </c>
      <c r="J10" s="5">
        <f t="shared" si="2"/>
        <v>10615.470000000001</v>
      </c>
      <c r="K10" s="5">
        <f>48076.31</f>
        <v>48076.31</v>
      </c>
      <c r="L10" s="5">
        <f>39104.5</f>
        <v>39104.5</v>
      </c>
      <c r="M10" s="5">
        <f t="shared" si="3"/>
        <v>8971.8099999999977</v>
      </c>
      <c r="N10" s="5">
        <f>28968.65</f>
        <v>28968.65</v>
      </c>
      <c r="O10" s="5">
        <f>39104.5</f>
        <v>39104.5</v>
      </c>
      <c r="P10" s="5">
        <f t="shared" si="4"/>
        <v>-10135.849999999999</v>
      </c>
      <c r="Q10" s="5">
        <f t="shared" si="5"/>
        <v>219697.25999999998</v>
      </c>
      <c r="R10" s="5">
        <f t="shared" si="6"/>
        <v>195522.5</v>
      </c>
      <c r="S10" s="5">
        <f t="shared" si="7"/>
        <v>24174.75999999998</v>
      </c>
    </row>
    <row r="11" spans="1:19" x14ac:dyDescent="0.3">
      <c r="A11" s="3" t="s">
        <v>13</v>
      </c>
      <c r="B11" s="5">
        <f>335</f>
        <v>335</v>
      </c>
      <c r="C11" s="5">
        <f>291.67</f>
        <v>291.67</v>
      </c>
      <c r="D11" s="5">
        <f t="shared" si="0"/>
        <v>43.329999999999984</v>
      </c>
      <c r="E11" s="5">
        <f>95</f>
        <v>95</v>
      </c>
      <c r="F11" s="5">
        <f>291.67</f>
        <v>291.67</v>
      </c>
      <c r="G11" s="5">
        <f t="shared" si="1"/>
        <v>-196.67000000000002</v>
      </c>
      <c r="H11" s="5">
        <f>485.43</f>
        <v>485.43</v>
      </c>
      <c r="I11" s="5">
        <f>291.67</f>
        <v>291.67</v>
      </c>
      <c r="J11" s="5">
        <f t="shared" si="2"/>
        <v>193.76</v>
      </c>
      <c r="K11" s="5">
        <f>589</f>
        <v>589</v>
      </c>
      <c r="L11" s="5">
        <f>291.67</f>
        <v>291.67</v>
      </c>
      <c r="M11" s="5">
        <f t="shared" si="3"/>
        <v>297.33</v>
      </c>
      <c r="N11" s="5">
        <f>164</f>
        <v>164</v>
      </c>
      <c r="O11" s="5">
        <f>291.67</f>
        <v>291.67</v>
      </c>
      <c r="P11" s="5">
        <f t="shared" si="4"/>
        <v>-127.67000000000002</v>
      </c>
      <c r="Q11" s="5">
        <f t="shared" si="5"/>
        <v>1668.43</v>
      </c>
      <c r="R11" s="5">
        <f t="shared" si="6"/>
        <v>1458.3500000000001</v>
      </c>
      <c r="S11" s="5">
        <f t="shared" si="7"/>
        <v>210.07999999999993</v>
      </c>
    </row>
    <row r="12" spans="1:19" x14ac:dyDescent="0.3">
      <c r="A12" s="3" t="s">
        <v>14</v>
      </c>
      <c r="B12" s="6">
        <f>((B9)+(B10))+(B11)</f>
        <v>45071.94</v>
      </c>
      <c r="C12" s="6">
        <f>((C9)+(C10))+(C11)</f>
        <v>39396.17</v>
      </c>
      <c r="D12" s="6">
        <f t="shared" si="0"/>
        <v>5675.7700000000041</v>
      </c>
      <c r="E12" s="6">
        <f>((E9)+(E10))+(E11)</f>
        <v>48290.39</v>
      </c>
      <c r="F12" s="6">
        <f>((F9)+(F10))+(F11)</f>
        <v>39396.17</v>
      </c>
      <c r="G12" s="6">
        <f t="shared" si="1"/>
        <v>8894.2200000000012</v>
      </c>
      <c r="H12" s="6">
        <f>((H9)+(H10))+(H11)</f>
        <v>50205.4</v>
      </c>
      <c r="I12" s="6">
        <f>((I9)+(I10))+(I11)</f>
        <v>39396.17</v>
      </c>
      <c r="J12" s="6">
        <f t="shared" si="2"/>
        <v>10809.230000000003</v>
      </c>
      <c r="K12" s="6">
        <f>((K9)+(K10))+(K11)</f>
        <v>48665.31</v>
      </c>
      <c r="L12" s="6">
        <f>((L9)+(L10))+(L11)</f>
        <v>39396.17</v>
      </c>
      <c r="M12" s="6">
        <f t="shared" si="3"/>
        <v>9269.14</v>
      </c>
      <c r="N12" s="6">
        <f>((N9)+(N10))+(N11)</f>
        <v>29132.65</v>
      </c>
      <c r="O12" s="6">
        <f>((O9)+(O10))+(O11)</f>
        <v>39396.17</v>
      </c>
      <c r="P12" s="6">
        <f t="shared" si="4"/>
        <v>-10263.519999999997</v>
      </c>
      <c r="Q12" s="6">
        <f t="shared" si="5"/>
        <v>221365.69</v>
      </c>
      <c r="R12" s="6">
        <f t="shared" si="6"/>
        <v>196980.84999999998</v>
      </c>
      <c r="S12" s="6">
        <f t="shared" si="7"/>
        <v>24384.840000000026</v>
      </c>
    </row>
    <row r="13" spans="1:19" x14ac:dyDescent="0.3">
      <c r="A13" s="3" t="s">
        <v>15</v>
      </c>
      <c r="B13" s="4"/>
      <c r="C13" s="4"/>
      <c r="D13" s="5">
        <f t="shared" si="0"/>
        <v>0</v>
      </c>
      <c r="E13" s="4"/>
      <c r="F13" s="4"/>
      <c r="G13" s="5">
        <f t="shared" si="1"/>
        <v>0</v>
      </c>
      <c r="H13" s="4"/>
      <c r="I13" s="4"/>
      <c r="J13" s="5">
        <f t="shared" si="2"/>
        <v>0</v>
      </c>
      <c r="K13" s="4"/>
      <c r="L13" s="4"/>
      <c r="M13" s="5">
        <f t="shared" si="3"/>
        <v>0</v>
      </c>
      <c r="N13" s="4"/>
      <c r="O13" s="4"/>
      <c r="P13" s="5">
        <f t="shared" si="4"/>
        <v>0</v>
      </c>
      <c r="Q13" s="5">
        <f t="shared" si="5"/>
        <v>0</v>
      </c>
      <c r="R13" s="5">
        <f t="shared" si="6"/>
        <v>0</v>
      </c>
      <c r="S13" s="5">
        <f t="shared" si="7"/>
        <v>0</v>
      </c>
    </row>
    <row r="14" spans="1:19" x14ac:dyDescent="0.3">
      <c r="A14" s="3" t="s">
        <v>16</v>
      </c>
      <c r="B14" s="5">
        <f>4836.85</f>
        <v>4836.8500000000004</v>
      </c>
      <c r="C14" s="5">
        <f>4710.58</f>
        <v>4710.58</v>
      </c>
      <c r="D14" s="5">
        <f t="shared" si="0"/>
        <v>126.27000000000044</v>
      </c>
      <c r="E14" s="5">
        <f>4836.85</f>
        <v>4836.8500000000004</v>
      </c>
      <c r="F14" s="5">
        <f>4710.58</f>
        <v>4710.58</v>
      </c>
      <c r="G14" s="5">
        <f t="shared" si="1"/>
        <v>126.27000000000044</v>
      </c>
      <c r="H14" s="5">
        <f>4847.13</f>
        <v>4847.13</v>
      </c>
      <c r="I14" s="5">
        <f>4710.58</f>
        <v>4710.58</v>
      </c>
      <c r="J14" s="5">
        <f t="shared" si="2"/>
        <v>136.55000000000018</v>
      </c>
      <c r="K14" s="5">
        <f>4842.13</f>
        <v>4842.13</v>
      </c>
      <c r="L14" s="5">
        <f>4710.58</f>
        <v>4710.58</v>
      </c>
      <c r="M14" s="5">
        <f t="shared" si="3"/>
        <v>131.55000000000018</v>
      </c>
      <c r="N14" s="5">
        <f>4916.3</f>
        <v>4916.3</v>
      </c>
      <c r="O14" s="5">
        <f>4710.58</f>
        <v>4710.58</v>
      </c>
      <c r="P14" s="5">
        <f t="shared" si="4"/>
        <v>205.72000000000025</v>
      </c>
      <c r="Q14" s="5">
        <f t="shared" si="5"/>
        <v>24279.260000000002</v>
      </c>
      <c r="R14" s="5">
        <f t="shared" si="6"/>
        <v>23552.9</v>
      </c>
      <c r="S14" s="5">
        <f t="shared" si="7"/>
        <v>726.36000000000058</v>
      </c>
    </row>
    <row r="15" spans="1:19" x14ac:dyDescent="0.3">
      <c r="A15" s="3" t="s">
        <v>17</v>
      </c>
      <c r="B15" s="4"/>
      <c r="C15" s="5">
        <f>0</f>
        <v>0</v>
      </c>
      <c r="D15" s="5">
        <f t="shared" si="0"/>
        <v>0</v>
      </c>
      <c r="E15" s="4"/>
      <c r="F15" s="5">
        <f>0</f>
        <v>0</v>
      </c>
      <c r="G15" s="5">
        <f t="shared" si="1"/>
        <v>0</v>
      </c>
      <c r="H15" s="4"/>
      <c r="I15" s="5">
        <f>0</f>
        <v>0</v>
      </c>
      <c r="J15" s="5">
        <f t="shared" si="2"/>
        <v>0</v>
      </c>
      <c r="K15" s="4"/>
      <c r="L15" s="5">
        <f>0</f>
        <v>0</v>
      </c>
      <c r="M15" s="5">
        <f t="shared" si="3"/>
        <v>0</v>
      </c>
      <c r="N15" s="4"/>
      <c r="O15" s="5">
        <f>0</f>
        <v>0</v>
      </c>
      <c r="P15" s="5">
        <f t="shared" si="4"/>
        <v>0</v>
      </c>
      <c r="Q15" s="5">
        <f t="shared" si="5"/>
        <v>0</v>
      </c>
      <c r="R15" s="5">
        <f t="shared" si="6"/>
        <v>0</v>
      </c>
      <c r="S15" s="5">
        <f t="shared" si="7"/>
        <v>0</v>
      </c>
    </row>
    <row r="16" spans="1:19" x14ac:dyDescent="0.3">
      <c r="A16" s="3" t="s">
        <v>18</v>
      </c>
      <c r="B16" s="6">
        <f>((B13)+(B14))+(B15)</f>
        <v>4836.8500000000004</v>
      </c>
      <c r="C16" s="6">
        <f>((C13)+(C14))+(C15)</f>
        <v>4710.58</v>
      </c>
      <c r="D16" s="6">
        <f t="shared" si="0"/>
        <v>126.27000000000044</v>
      </c>
      <c r="E16" s="6">
        <f>((E13)+(E14))+(E15)</f>
        <v>4836.8500000000004</v>
      </c>
      <c r="F16" s="6">
        <f>((F13)+(F14))+(F15)</f>
        <v>4710.58</v>
      </c>
      <c r="G16" s="6">
        <f t="shared" si="1"/>
        <v>126.27000000000044</v>
      </c>
      <c r="H16" s="6">
        <f>((H13)+(H14))+(H15)</f>
        <v>4847.13</v>
      </c>
      <c r="I16" s="6">
        <f>((I13)+(I14))+(I15)</f>
        <v>4710.58</v>
      </c>
      <c r="J16" s="6">
        <f t="shared" si="2"/>
        <v>136.55000000000018</v>
      </c>
      <c r="K16" s="6">
        <f>((K13)+(K14))+(K15)</f>
        <v>4842.13</v>
      </c>
      <c r="L16" s="6">
        <f>((L13)+(L14))+(L15)</f>
        <v>4710.58</v>
      </c>
      <c r="M16" s="6">
        <f t="shared" si="3"/>
        <v>131.55000000000018</v>
      </c>
      <c r="N16" s="6">
        <f>((N13)+(N14))+(N15)</f>
        <v>4916.3</v>
      </c>
      <c r="O16" s="6">
        <f>((O13)+(O14))+(O15)</f>
        <v>4710.58</v>
      </c>
      <c r="P16" s="6">
        <f t="shared" si="4"/>
        <v>205.72000000000025</v>
      </c>
      <c r="Q16" s="6">
        <f t="shared" si="5"/>
        <v>24279.260000000002</v>
      </c>
      <c r="R16" s="6">
        <f t="shared" si="6"/>
        <v>23552.9</v>
      </c>
      <c r="S16" s="6">
        <f t="shared" si="7"/>
        <v>726.36000000000058</v>
      </c>
    </row>
    <row r="17" spans="1:19" x14ac:dyDescent="0.3">
      <c r="A17" s="3" t="s">
        <v>19</v>
      </c>
      <c r="B17" s="4"/>
      <c r="C17" s="4"/>
      <c r="D17" s="5">
        <f t="shared" si="0"/>
        <v>0</v>
      </c>
      <c r="E17" s="4"/>
      <c r="F17" s="4"/>
      <c r="G17" s="5">
        <f t="shared" si="1"/>
        <v>0</v>
      </c>
      <c r="H17" s="4"/>
      <c r="I17" s="4"/>
      <c r="J17" s="5">
        <f t="shared" si="2"/>
        <v>0</v>
      </c>
      <c r="K17" s="4"/>
      <c r="L17" s="4"/>
      <c r="M17" s="5">
        <f t="shared" si="3"/>
        <v>0</v>
      </c>
      <c r="N17" s="4"/>
      <c r="O17" s="4"/>
      <c r="P17" s="5">
        <f t="shared" si="4"/>
        <v>0</v>
      </c>
      <c r="Q17" s="5">
        <f t="shared" si="5"/>
        <v>0</v>
      </c>
      <c r="R17" s="5">
        <f t="shared" si="6"/>
        <v>0</v>
      </c>
      <c r="S17" s="5">
        <f t="shared" si="7"/>
        <v>0</v>
      </c>
    </row>
    <row r="18" spans="1:19" x14ac:dyDescent="0.3">
      <c r="A18" s="3" t="s">
        <v>20</v>
      </c>
      <c r="B18" s="5">
        <f>250</f>
        <v>250</v>
      </c>
      <c r="C18" s="5">
        <f>125</f>
        <v>125</v>
      </c>
      <c r="D18" s="5">
        <f t="shared" si="0"/>
        <v>125</v>
      </c>
      <c r="E18" s="5">
        <f>360</f>
        <v>360</v>
      </c>
      <c r="F18" s="5">
        <f>125</f>
        <v>125</v>
      </c>
      <c r="G18" s="5">
        <f t="shared" si="1"/>
        <v>235</v>
      </c>
      <c r="H18" s="5">
        <f>200</f>
        <v>200</v>
      </c>
      <c r="I18" s="5">
        <f>125</f>
        <v>125</v>
      </c>
      <c r="J18" s="5">
        <f t="shared" si="2"/>
        <v>75</v>
      </c>
      <c r="K18" s="5">
        <f>200</f>
        <v>200</v>
      </c>
      <c r="L18" s="5">
        <f>125</f>
        <v>125</v>
      </c>
      <c r="M18" s="5">
        <f t="shared" si="3"/>
        <v>75</v>
      </c>
      <c r="N18" s="5">
        <f>150</f>
        <v>150</v>
      </c>
      <c r="O18" s="5">
        <f>125</f>
        <v>125</v>
      </c>
      <c r="P18" s="5">
        <f t="shared" si="4"/>
        <v>25</v>
      </c>
      <c r="Q18" s="5">
        <f t="shared" si="5"/>
        <v>1160</v>
      </c>
      <c r="R18" s="5">
        <f t="shared" si="6"/>
        <v>625</v>
      </c>
      <c r="S18" s="5">
        <f t="shared" si="7"/>
        <v>535</v>
      </c>
    </row>
    <row r="19" spans="1:19" x14ac:dyDescent="0.3">
      <c r="A19" s="3" t="s">
        <v>21</v>
      </c>
      <c r="B19" s="5">
        <f>912</f>
        <v>912</v>
      </c>
      <c r="C19" s="5">
        <f>833.33</f>
        <v>833.33</v>
      </c>
      <c r="D19" s="5">
        <f t="shared" si="0"/>
        <v>78.669999999999959</v>
      </c>
      <c r="E19" s="5">
        <f>1064</f>
        <v>1064</v>
      </c>
      <c r="F19" s="5">
        <f>833.33</f>
        <v>833.33</v>
      </c>
      <c r="G19" s="5">
        <f t="shared" si="1"/>
        <v>230.66999999999996</v>
      </c>
      <c r="H19" s="5">
        <f>608</f>
        <v>608</v>
      </c>
      <c r="I19" s="5">
        <f>833.33</f>
        <v>833.33</v>
      </c>
      <c r="J19" s="5">
        <f t="shared" si="2"/>
        <v>-225.33000000000004</v>
      </c>
      <c r="K19" s="5">
        <f>456</f>
        <v>456</v>
      </c>
      <c r="L19" s="5">
        <f>833.33</f>
        <v>833.33</v>
      </c>
      <c r="M19" s="5">
        <f t="shared" si="3"/>
        <v>-377.33000000000004</v>
      </c>
      <c r="N19" s="5">
        <f>608</f>
        <v>608</v>
      </c>
      <c r="O19" s="5">
        <f>833.33</f>
        <v>833.33</v>
      </c>
      <c r="P19" s="5">
        <f t="shared" si="4"/>
        <v>-225.33000000000004</v>
      </c>
      <c r="Q19" s="5">
        <f t="shared" si="5"/>
        <v>3648</v>
      </c>
      <c r="R19" s="5">
        <f t="shared" si="6"/>
        <v>4166.6500000000005</v>
      </c>
      <c r="S19" s="5">
        <f t="shared" si="7"/>
        <v>-518.65000000000055</v>
      </c>
    </row>
    <row r="20" spans="1:19" x14ac:dyDescent="0.3">
      <c r="A20" s="3" t="s">
        <v>22</v>
      </c>
      <c r="B20" s="4"/>
      <c r="C20" s="5">
        <f>0</f>
        <v>0</v>
      </c>
      <c r="D20" s="5">
        <f t="shared" si="0"/>
        <v>0</v>
      </c>
      <c r="E20" s="4"/>
      <c r="F20" s="5">
        <f>0</f>
        <v>0</v>
      </c>
      <c r="G20" s="5">
        <f t="shared" si="1"/>
        <v>0</v>
      </c>
      <c r="H20" s="4"/>
      <c r="I20" s="5">
        <f>0</f>
        <v>0</v>
      </c>
      <c r="J20" s="5">
        <f t="shared" si="2"/>
        <v>0</v>
      </c>
      <c r="K20" s="4"/>
      <c r="L20" s="5">
        <f>0</f>
        <v>0</v>
      </c>
      <c r="M20" s="5">
        <f t="shared" si="3"/>
        <v>0</v>
      </c>
      <c r="N20" s="4"/>
      <c r="O20" s="5">
        <f>0</f>
        <v>0</v>
      </c>
      <c r="P20" s="5">
        <f t="shared" si="4"/>
        <v>0</v>
      </c>
      <c r="Q20" s="5">
        <f t="shared" si="5"/>
        <v>0</v>
      </c>
      <c r="R20" s="5">
        <f t="shared" si="6"/>
        <v>0</v>
      </c>
      <c r="S20" s="5">
        <f t="shared" si="7"/>
        <v>0</v>
      </c>
    </row>
    <row r="21" spans="1:19" x14ac:dyDescent="0.3">
      <c r="A21" s="3" t="s">
        <v>23</v>
      </c>
      <c r="B21" s="6">
        <f>(((B17)+(B18))+(B19))+(B20)</f>
        <v>1162</v>
      </c>
      <c r="C21" s="6">
        <f>(((C17)+(C18))+(C19))+(C20)</f>
        <v>958.33</v>
      </c>
      <c r="D21" s="6">
        <f t="shared" si="0"/>
        <v>203.66999999999996</v>
      </c>
      <c r="E21" s="6">
        <f>(((E17)+(E18))+(E19))+(E20)</f>
        <v>1424</v>
      </c>
      <c r="F21" s="6">
        <f>(((F17)+(F18))+(F19))+(F20)</f>
        <v>958.33</v>
      </c>
      <c r="G21" s="6">
        <f t="shared" si="1"/>
        <v>465.66999999999996</v>
      </c>
      <c r="H21" s="6">
        <f>(((H17)+(H18))+(H19))+(H20)</f>
        <v>808</v>
      </c>
      <c r="I21" s="6">
        <f>(((I17)+(I18))+(I19))+(I20)</f>
        <v>958.33</v>
      </c>
      <c r="J21" s="6">
        <f t="shared" si="2"/>
        <v>-150.33000000000004</v>
      </c>
      <c r="K21" s="6">
        <f>(((K17)+(K18))+(K19))+(K20)</f>
        <v>656</v>
      </c>
      <c r="L21" s="6">
        <f>(((L17)+(L18))+(L19))+(L20)</f>
        <v>958.33</v>
      </c>
      <c r="M21" s="6">
        <f t="shared" si="3"/>
        <v>-302.33000000000004</v>
      </c>
      <c r="N21" s="6">
        <f>(((N17)+(N18))+(N19))+(N20)</f>
        <v>758</v>
      </c>
      <c r="O21" s="6">
        <f>(((O17)+(O18))+(O19))+(O20)</f>
        <v>958.33</v>
      </c>
      <c r="P21" s="6">
        <f t="shared" si="4"/>
        <v>-200.33000000000004</v>
      </c>
      <c r="Q21" s="6">
        <f t="shared" si="5"/>
        <v>4808</v>
      </c>
      <c r="R21" s="6">
        <f t="shared" si="6"/>
        <v>4791.6500000000005</v>
      </c>
      <c r="S21" s="6">
        <f t="shared" si="7"/>
        <v>16.349999999999454</v>
      </c>
    </row>
    <row r="22" spans="1:19" x14ac:dyDescent="0.3">
      <c r="A22" s="3" t="s">
        <v>24</v>
      </c>
      <c r="B22" s="6">
        <f>(((B8)+(B12))+(B16))+(B21)</f>
        <v>51070.79</v>
      </c>
      <c r="C22" s="6">
        <f>(((C8)+(C12))+(C16))+(C21)</f>
        <v>45065.08</v>
      </c>
      <c r="D22" s="6">
        <f t="shared" si="0"/>
        <v>6005.7099999999991</v>
      </c>
      <c r="E22" s="6">
        <f>(((E8)+(E12))+(E16))+(E21)</f>
        <v>54551.24</v>
      </c>
      <c r="F22" s="6">
        <f>(((F8)+(F12))+(F16))+(F21)</f>
        <v>45065.08</v>
      </c>
      <c r="G22" s="6">
        <f t="shared" si="1"/>
        <v>9486.1599999999962</v>
      </c>
      <c r="H22" s="6">
        <f>(((H8)+(H12))+(H16))+(H21)</f>
        <v>55860.53</v>
      </c>
      <c r="I22" s="6">
        <f>(((I8)+(I12))+(I16))+(I21)</f>
        <v>45065.08</v>
      </c>
      <c r="J22" s="6">
        <f t="shared" si="2"/>
        <v>10795.449999999997</v>
      </c>
      <c r="K22" s="6">
        <f>(((K8)+(K12))+(K16))+(K21)</f>
        <v>54163.439999999995</v>
      </c>
      <c r="L22" s="6">
        <f>(((L8)+(L12))+(L16))+(L21)</f>
        <v>45065.08</v>
      </c>
      <c r="M22" s="6">
        <f t="shared" si="3"/>
        <v>9098.3599999999933</v>
      </c>
      <c r="N22" s="6">
        <f>(((N8)+(N12))+(N16))+(N21)</f>
        <v>34806.950000000004</v>
      </c>
      <c r="O22" s="6">
        <f>(((O8)+(O12))+(O16))+(O21)</f>
        <v>45065.08</v>
      </c>
      <c r="P22" s="6">
        <f t="shared" si="4"/>
        <v>-10258.129999999997</v>
      </c>
      <c r="Q22" s="6">
        <f t="shared" si="5"/>
        <v>250452.95</v>
      </c>
      <c r="R22" s="6">
        <f t="shared" si="6"/>
        <v>225325.40000000002</v>
      </c>
      <c r="S22" s="6">
        <f t="shared" si="7"/>
        <v>25127.549999999988</v>
      </c>
    </row>
    <row r="23" spans="1:19" x14ac:dyDescent="0.3">
      <c r="A23" s="3" t="s">
        <v>25</v>
      </c>
      <c r="B23" s="6">
        <f>B22</f>
        <v>51070.79</v>
      </c>
      <c r="C23" s="6">
        <f>C22</f>
        <v>45065.08</v>
      </c>
      <c r="D23" s="6">
        <f t="shared" si="0"/>
        <v>6005.7099999999991</v>
      </c>
      <c r="E23" s="6">
        <f>E22</f>
        <v>54551.24</v>
      </c>
      <c r="F23" s="6">
        <f>F22</f>
        <v>45065.08</v>
      </c>
      <c r="G23" s="6">
        <f t="shared" si="1"/>
        <v>9486.1599999999962</v>
      </c>
      <c r="H23" s="6">
        <f>H22</f>
        <v>55860.53</v>
      </c>
      <c r="I23" s="6">
        <f>I22</f>
        <v>45065.08</v>
      </c>
      <c r="J23" s="6">
        <f t="shared" si="2"/>
        <v>10795.449999999997</v>
      </c>
      <c r="K23" s="6">
        <f>K22</f>
        <v>54163.439999999995</v>
      </c>
      <c r="L23" s="6">
        <f>L22</f>
        <v>45065.08</v>
      </c>
      <c r="M23" s="6">
        <f t="shared" si="3"/>
        <v>9098.3599999999933</v>
      </c>
      <c r="N23" s="6">
        <f>N22</f>
        <v>34806.950000000004</v>
      </c>
      <c r="O23" s="6">
        <f>O22</f>
        <v>45065.08</v>
      </c>
      <c r="P23" s="6">
        <f t="shared" si="4"/>
        <v>-10258.129999999997</v>
      </c>
      <c r="Q23" s="6">
        <f t="shared" si="5"/>
        <v>250452.95</v>
      </c>
      <c r="R23" s="6">
        <f t="shared" si="6"/>
        <v>225325.40000000002</v>
      </c>
      <c r="S23" s="6">
        <f t="shared" si="7"/>
        <v>25127.549999999988</v>
      </c>
    </row>
    <row r="24" spans="1:19" x14ac:dyDescent="0.3">
      <c r="A24" s="3" t="s">
        <v>26</v>
      </c>
      <c r="B24" s="6">
        <f>(B23)-(0)</f>
        <v>51070.79</v>
      </c>
      <c r="C24" s="6">
        <f>(C23)-(0)</f>
        <v>45065.08</v>
      </c>
      <c r="D24" s="6">
        <f t="shared" si="0"/>
        <v>6005.7099999999991</v>
      </c>
      <c r="E24" s="6">
        <f>(E23)-(0)</f>
        <v>54551.24</v>
      </c>
      <c r="F24" s="6">
        <f>(F23)-(0)</f>
        <v>45065.08</v>
      </c>
      <c r="G24" s="6">
        <f t="shared" si="1"/>
        <v>9486.1599999999962</v>
      </c>
      <c r="H24" s="6">
        <f>(H23)-(0)</f>
        <v>55860.53</v>
      </c>
      <c r="I24" s="6">
        <f>(I23)-(0)</f>
        <v>45065.08</v>
      </c>
      <c r="J24" s="6">
        <f t="shared" si="2"/>
        <v>10795.449999999997</v>
      </c>
      <c r="K24" s="6">
        <f>(K23)-(0)</f>
        <v>54163.439999999995</v>
      </c>
      <c r="L24" s="6">
        <f>(L23)-(0)</f>
        <v>45065.08</v>
      </c>
      <c r="M24" s="6">
        <f t="shared" si="3"/>
        <v>9098.3599999999933</v>
      </c>
      <c r="N24" s="6">
        <f>(N23)-(0)</f>
        <v>34806.950000000004</v>
      </c>
      <c r="O24" s="6">
        <f>(O23)-(0)</f>
        <v>45065.08</v>
      </c>
      <c r="P24" s="6">
        <f t="shared" si="4"/>
        <v>-10258.129999999997</v>
      </c>
      <c r="Q24" s="6">
        <f t="shared" si="5"/>
        <v>250452.95</v>
      </c>
      <c r="R24" s="6">
        <f t="shared" si="6"/>
        <v>225325.40000000002</v>
      </c>
      <c r="S24" s="6">
        <f t="shared" si="7"/>
        <v>25127.549999999988</v>
      </c>
    </row>
    <row r="25" spans="1:19" x14ac:dyDescent="0.3">
      <c r="A25" s="3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3" t="s">
        <v>28</v>
      </c>
      <c r="B26" s="4"/>
      <c r="C26" s="4"/>
      <c r="D26" s="5">
        <f t="shared" ref="D26:D57" si="8">(B26)-(C26)</f>
        <v>0</v>
      </c>
      <c r="E26" s="4"/>
      <c r="F26" s="4"/>
      <c r="G26" s="5">
        <f t="shared" ref="G26:G57" si="9">(E26)-(F26)</f>
        <v>0</v>
      </c>
      <c r="H26" s="4"/>
      <c r="I26" s="4"/>
      <c r="J26" s="5">
        <f t="shared" ref="J26:J57" si="10">(H26)-(I26)</f>
        <v>0</v>
      </c>
      <c r="K26" s="4"/>
      <c r="L26" s="4"/>
      <c r="M26" s="5">
        <f t="shared" ref="M26:M57" si="11">(K26)-(L26)</f>
        <v>0</v>
      </c>
      <c r="N26" s="4"/>
      <c r="O26" s="4"/>
      <c r="P26" s="5">
        <f t="shared" ref="P26:P57" si="12">(N26)-(O26)</f>
        <v>0</v>
      </c>
      <c r="Q26" s="5">
        <f t="shared" ref="Q26:Q57" si="13">((((B26)+(E26))+(H26))+(K26))+(N26)</f>
        <v>0</v>
      </c>
      <c r="R26" s="5">
        <f t="shared" ref="R26:R57" si="14">((((C26)+(F26))+(I26))+(L26))+(O26)</f>
        <v>0</v>
      </c>
      <c r="S26" s="5">
        <f t="shared" ref="S26:S57" si="15">(Q26)-(R26)</f>
        <v>0</v>
      </c>
    </row>
    <row r="27" spans="1:19" x14ac:dyDescent="0.3">
      <c r="A27" s="3" t="s">
        <v>29</v>
      </c>
      <c r="B27" s="5">
        <f>7224.46</f>
        <v>7224.46</v>
      </c>
      <c r="C27" s="5">
        <f>7932.08</f>
        <v>7932.08</v>
      </c>
      <c r="D27" s="5">
        <f t="shared" si="8"/>
        <v>-707.61999999999989</v>
      </c>
      <c r="E27" s="5">
        <f>7911.25</f>
        <v>7911.25</v>
      </c>
      <c r="F27" s="5">
        <f>7932.08</f>
        <v>7932.08</v>
      </c>
      <c r="G27" s="5">
        <f t="shared" si="9"/>
        <v>-20.829999999999927</v>
      </c>
      <c r="H27" s="5">
        <f>7573.08</f>
        <v>7573.08</v>
      </c>
      <c r="I27" s="5">
        <f>7932.08</f>
        <v>7932.08</v>
      </c>
      <c r="J27" s="5">
        <f t="shared" si="10"/>
        <v>-359</v>
      </c>
      <c r="K27" s="5">
        <f>9682.95</f>
        <v>9682.9500000000007</v>
      </c>
      <c r="L27" s="5">
        <f>7932.08</f>
        <v>7932.08</v>
      </c>
      <c r="M27" s="5">
        <f t="shared" si="11"/>
        <v>1750.8700000000008</v>
      </c>
      <c r="N27" s="5">
        <f>7573.08</f>
        <v>7573.08</v>
      </c>
      <c r="O27" s="5">
        <f>7932.08</f>
        <v>7932.08</v>
      </c>
      <c r="P27" s="5">
        <f t="shared" si="12"/>
        <v>-359</v>
      </c>
      <c r="Q27" s="5">
        <f t="shared" si="13"/>
        <v>39964.82</v>
      </c>
      <c r="R27" s="5">
        <f t="shared" si="14"/>
        <v>39660.400000000001</v>
      </c>
      <c r="S27" s="5">
        <f t="shared" si="15"/>
        <v>304.41999999999825</v>
      </c>
    </row>
    <row r="28" spans="1:19" x14ac:dyDescent="0.3">
      <c r="A28" s="3" t="s">
        <v>30</v>
      </c>
      <c r="B28" s="5">
        <f>944.3</f>
        <v>944.3</v>
      </c>
      <c r="C28" s="5">
        <f>951.83</f>
        <v>951.83</v>
      </c>
      <c r="D28" s="5">
        <f t="shared" si="8"/>
        <v>-7.5300000000000864</v>
      </c>
      <c r="E28" s="5">
        <f>1038.72</f>
        <v>1038.72</v>
      </c>
      <c r="F28" s="5">
        <f>951.83</f>
        <v>951.83</v>
      </c>
      <c r="G28" s="5">
        <f t="shared" si="9"/>
        <v>86.889999999999986</v>
      </c>
      <c r="H28" s="5">
        <f>991.51</f>
        <v>991.51</v>
      </c>
      <c r="I28" s="5">
        <f>951.83</f>
        <v>951.83</v>
      </c>
      <c r="J28" s="5">
        <f t="shared" si="10"/>
        <v>39.67999999999995</v>
      </c>
      <c r="K28" s="5">
        <f>991.51</f>
        <v>991.51</v>
      </c>
      <c r="L28" s="5">
        <f>951.83</f>
        <v>951.83</v>
      </c>
      <c r="M28" s="5">
        <f t="shared" si="11"/>
        <v>39.67999999999995</v>
      </c>
      <c r="N28" s="5">
        <f>991.51</f>
        <v>991.51</v>
      </c>
      <c r="O28" s="5">
        <f>951.83</f>
        <v>951.83</v>
      </c>
      <c r="P28" s="5">
        <f t="shared" si="12"/>
        <v>39.67999999999995</v>
      </c>
      <c r="Q28" s="5">
        <f t="shared" si="13"/>
        <v>4957.55</v>
      </c>
      <c r="R28" s="5">
        <f t="shared" si="14"/>
        <v>4759.1500000000005</v>
      </c>
      <c r="S28" s="5">
        <f t="shared" si="15"/>
        <v>198.39999999999964</v>
      </c>
    </row>
    <row r="29" spans="1:19" x14ac:dyDescent="0.3">
      <c r="A29" s="3" t="s">
        <v>31</v>
      </c>
      <c r="B29" s="4"/>
      <c r="C29" s="5">
        <f>41.67</f>
        <v>41.67</v>
      </c>
      <c r="D29" s="5">
        <f t="shared" si="8"/>
        <v>-41.67</v>
      </c>
      <c r="E29" s="5">
        <f>44.43</f>
        <v>44.43</v>
      </c>
      <c r="F29" s="5">
        <f>41.67</f>
        <v>41.67</v>
      </c>
      <c r="G29" s="5">
        <f t="shared" si="9"/>
        <v>2.759999999999998</v>
      </c>
      <c r="H29" s="5">
        <f>43.79</f>
        <v>43.79</v>
      </c>
      <c r="I29" s="5">
        <f>41.67</f>
        <v>41.67</v>
      </c>
      <c r="J29" s="5">
        <f t="shared" si="10"/>
        <v>2.1199999999999974</v>
      </c>
      <c r="K29" s="4"/>
      <c r="L29" s="5">
        <f>41.67</f>
        <v>41.67</v>
      </c>
      <c r="M29" s="5">
        <f t="shared" si="11"/>
        <v>-41.67</v>
      </c>
      <c r="N29" s="5">
        <f>35.82</f>
        <v>35.82</v>
      </c>
      <c r="O29" s="5">
        <f>41.67</f>
        <v>41.67</v>
      </c>
      <c r="P29" s="5">
        <f t="shared" si="12"/>
        <v>-5.8500000000000014</v>
      </c>
      <c r="Q29" s="5">
        <f t="shared" si="13"/>
        <v>124.03999999999999</v>
      </c>
      <c r="R29" s="5">
        <f t="shared" si="14"/>
        <v>208.35000000000002</v>
      </c>
      <c r="S29" s="5">
        <f t="shared" si="15"/>
        <v>-84.310000000000031</v>
      </c>
    </row>
    <row r="30" spans="1:19" x14ac:dyDescent="0.3">
      <c r="A30" s="3" t="s">
        <v>32</v>
      </c>
      <c r="B30" s="5">
        <f>2652.16</f>
        <v>2652.16</v>
      </c>
      <c r="C30" s="5">
        <f>3016.67</f>
        <v>3016.67</v>
      </c>
      <c r="D30" s="5">
        <f t="shared" si="8"/>
        <v>-364.51000000000022</v>
      </c>
      <c r="E30" s="5">
        <f>2917.08</f>
        <v>2917.08</v>
      </c>
      <c r="F30" s="5">
        <f>3016.67</f>
        <v>3016.67</v>
      </c>
      <c r="G30" s="5">
        <f t="shared" si="9"/>
        <v>-99.590000000000146</v>
      </c>
      <c r="H30" s="5">
        <f>2784.62</f>
        <v>2784.62</v>
      </c>
      <c r="I30" s="5">
        <f>3016.67</f>
        <v>3016.67</v>
      </c>
      <c r="J30" s="5">
        <f t="shared" si="10"/>
        <v>-232.05000000000018</v>
      </c>
      <c r="K30" s="5">
        <f>4176.93</f>
        <v>4176.93</v>
      </c>
      <c r="L30" s="5">
        <f>3016.67</f>
        <v>3016.67</v>
      </c>
      <c r="M30" s="5">
        <f t="shared" si="11"/>
        <v>1160.2600000000002</v>
      </c>
      <c r="N30" s="5">
        <f>2784.62</f>
        <v>2784.62</v>
      </c>
      <c r="O30" s="5">
        <f>3016.67</f>
        <v>3016.67</v>
      </c>
      <c r="P30" s="5">
        <f t="shared" si="12"/>
        <v>-232.05000000000018</v>
      </c>
      <c r="Q30" s="5">
        <f t="shared" si="13"/>
        <v>15315.41</v>
      </c>
      <c r="R30" s="5">
        <f t="shared" si="14"/>
        <v>15083.35</v>
      </c>
      <c r="S30" s="5">
        <f t="shared" si="15"/>
        <v>232.05999999999949</v>
      </c>
    </row>
    <row r="31" spans="1:19" x14ac:dyDescent="0.3">
      <c r="A31" s="3" t="s">
        <v>33</v>
      </c>
      <c r="B31" s="5">
        <f>202.9</f>
        <v>202.9</v>
      </c>
      <c r="C31" s="5">
        <f>230.75</f>
        <v>230.75</v>
      </c>
      <c r="D31" s="5">
        <f t="shared" si="8"/>
        <v>-27.849999999999994</v>
      </c>
      <c r="E31" s="5">
        <f>223.16</f>
        <v>223.16</v>
      </c>
      <c r="F31" s="5">
        <f>230.75</f>
        <v>230.75</v>
      </c>
      <c r="G31" s="5">
        <f t="shared" si="9"/>
        <v>-7.5900000000000034</v>
      </c>
      <c r="H31" s="5">
        <f>213.02</f>
        <v>213.02</v>
      </c>
      <c r="I31" s="5">
        <f>230.75</f>
        <v>230.75</v>
      </c>
      <c r="J31" s="5">
        <f t="shared" si="10"/>
        <v>-17.72999999999999</v>
      </c>
      <c r="K31" s="5">
        <f>319.53</f>
        <v>319.52999999999997</v>
      </c>
      <c r="L31" s="5">
        <f>230.75</f>
        <v>230.75</v>
      </c>
      <c r="M31" s="5">
        <f t="shared" si="11"/>
        <v>88.779999999999973</v>
      </c>
      <c r="N31" s="5">
        <f>213.02</f>
        <v>213.02</v>
      </c>
      <c r="O31" s="5">
        <f>230.75</f>
        <v>230.75</v>
      </c>
      <c r="P31" s="5">
        <f t="shared" si="12"/>
        <v>-17.72999999999999</v>
      </c>
      <c r="Q31" s="5">
        <f t="shared" si="13"/>
        <v>1171.6300000000001</v>
      </c>
      <c r="R31" s="5">
        <f t="shared" si="14"/>
        <v>1153.75</v>
      </c>
      <c r="S31" s="5">
        <f t="shared" si="15"/>
        <v>17.880000000000109</v>
      </c>
    </row>
    <row r="32" spans="1:19" x14ac:dyDescent="0.3">
      <c r="A32" s="3" t="s">
        <v>34</v>
      </c>
      <c r="B32" s="4"/>
      <c r="C32" s="5">
        <f>41.67</f>
        <v>41.67</v>
      </c>
      <c r="D32" s="5">
        <f t="shared" si="8"/>
        <v>-41.67</v>
      </c>
      <c r="E32" s="4"/>
      <c r="F32" s="5">
        <f>41.67</f>
        <v>41.67</v>
      </c>
      <c r="G32" s="5">
        <f t="shared" si="9"/>
        <v>-41.67</v>
      </c>
      <c r="H32" s="4"/>
      <c r="I32" s="5">
        <f>41.67</f>
        <v>41.67</v>
      </c>
      <c r="J32" s="5">
        <f t="shared" si="10"/>
        <v>-41.67</v>
      </c>
      <c r="K32" s="4"/>
      <c r="L32" s="5">
        <f>41.67</f>
        <v>41.67</v>
      </c>
      <c r="M32" s="5">
        <f t="shared" si="11"/>
        <v>-41.67</v>
      </c>
      <c r="N32" s="4"/>
      <c r="O32" s="5">
        <f>41.67</f>
        <v>41.67</v>
      </c>
      <c r="P32" s="5">
        <f t="shared" si="12"/>
        <v>-41.67</v>
      </c>
      <c r="Q32" s="5">
        <f t="shared" si="13"/>
        <v>0</v>
      </c>
      <c r="R32" s="5">
        <f t="shared" si="14"/>
        <v>208.35000000000002</v>
      </c>
      <c r="S32" s="5">
        <f t="shared" si="15"/>
        <v>-208.35000000000002</v>
      </c>
    </row>
    <row r="33" spans="1:19" x14ac:dyDescent="0.3">
      <c r="A33" s="3" t="s">
        <v>35</v>
      </c>
      <c r="B33" s="4"/>
      <c r="C33" s="5">
        <f>0</f>
        <v>0</v>
      </c>
      <c r="D33" s="5">
        <f t="shared" si="8"/>
        <v>0</v>
      </c>
      <c r="E33" s="4"/>
      <c r="F33" s="5">
        <f>0</f>
        <v>0</v>
      </c>
      <c r="G33" s="5">
        <f t="shared" si="9"/>
        <v>0</v>
      </c>
      <c r="H33" s="4"/>
      <c r="I33" s="5">
        <f>0</f>
        <v>0</v>
      </c>
      <c r="J33" s="5">
        <f t="shared" si="10"/>
        <v>0</v>
      </c>
      <c r="K33" s="4"/>
      <c r="L33" s="5">
        <f>0</f>
        <v>0</v>
      </c>
      <c r="M33" s="5">
        <f t="shared" si="11"/>
        <v>0</v>
      </c>
      <c r="N33" s="4"/>
      <c r="O33" s="5">
        <f>0</f>
        <v>0</v>
      </c>
      <c r="P33" s="5">
        <f t="shared" si="12"/>
        <v>0</v>
      </c>
      <c r="Q33" s="5">
        <f t="shared" si="13"/>
        <v>0</v>
      </c>
      <c r="R33" s="5">
        <f t="shared" si="14"/>
        <v>0</v>
      </c>
      <c r="S33" s="5">
        <f t="shared" si="15"/>
        <v>0</v>
      </c>
    </row>
    <row r="34" spans="1:19" x14ac:dyDescent="0.3">
      <c r="A34" s="3" t="s">
        <v>36</v>
      </c>
      <c r="B34" s="6">
        <f>(((((((B26)+(B27))+(B28))+(B29))+(B30))+(B31))+(B32))+(B33)</f>
        <v>11023.82</v>
      </c>
      <c r="C34" s="6">
        <f>(((((((C26)+(C27))+(C28))+(C29))+(C30))+(C31))+(C32))+(C33)</f>
        <v>12214.67</v>
      </c>
      <c r="D34" s="6">
        <f t="shared" si="8"/>
        <v>-1190.8500000000004</v>
      </c>
      <c r="E34" s="6">
        <f>(((((((E26)+(E27))+(E28))+(E29))+(E30))+(E31))+(E32))+(E33)</f>
        <v>12134.64</v>
      </c>
      <c r="F34" s="6">
        <f>(((((((F26)+(F27))+(F28))+(F29))+(F30))+(F31))+(F32))+(F33)</f>
        <v>12214.67</v>
      </c>
      <c r="G34" s="6">
        <f t="shared" si="9"/>
        <v>-80.030000000000655</v>
      </c>
      <c r="H34" s="6">
        <f>(((((((H26)+(H27))+(H28))+(H29))+(H30))+(H31))+(H32))+(H33)</f>
        <v>11606.02</v>
      </c>
      <c r="I34" s="6">
        <f>(((((((I26)+(I27))+(I28))+(I29))+(I30))+(I31))+(I32))+(I33)</f>
        <v>12214.67</v>
      </c>
      <c r="J34" s="6">
        <f t="shared" si="10"/>
        <v>-608.64999999999964</v>
      </c>
      <c r="K34" s="6">
        <f>(((((((K26)+(K27))+(K28))+(K29))+(K30))+(K31))+(K32))+(K33)</f>
        <v>15170.920000000002</v>
      </c>
      <c r="L34" s="6">
        <f>(((((((L26)+(L27))+(L28))+(L29))+(L30))+(L31))+(L32))+(L33)</f>
        <v>12214.67</v>
      </c>
      <c r="M34" s="6">
        <f t="shared" si="11"/>
        <v>2956.2500000000018</v>
      </c>
      <c r="N34" s="6">
        <f>(((((((N26)+(N27))+(N28))+(N29))+(N30))+(N31))+(N32))+(N33)</f>
        <v>11598.05</v>
      </c>
      <c r="O34" s="6">
        <f>(((((((O26)+(O27))+(O28))+(O29))+(O30))+(O31))+(O32))+(O33)</f>
        <v>12214.67</v>
      </c>
      <c r="P34" s="6">
        <f t="shared" si="12"/>
        <v>-616.6200000000008</v>
      </c>
      <c r="Q34" s="6">
        <f t="shared" si="13"/>
        <v>61533.45</v>
      </c>
      <c r="R34" s="6">
        <f t="shared" si="14"/>
        <v>61073.35</v>
      </c>
      <c r="S34" s="6">
        <f t="shared" si="15"/>
        <v>460.09999999999854</v>
      </c>
    </row>
    <row r="35" spans="1:19" x14ac:dyDescent="0.3">
      <c r="A35" s="3" t="s">
        <v>37</v>
      </c>
      <c r="B35" s="4"/>
      <c r="C35" s="4"/>
      <c r="D35" s="5">
        <f t="shared" si="8"/>
        <v>0</v>
      </c>
      <c r="E35" s="4"/>
      <c r="F35" s="4"/>
      <c r="G35" s="5">
        <f t="shared" si="9"/>
        <v>0</v>
      </c>
      <c r="H35" s="4"/>
      <c r="I35" s="4"/>
      <c r="J35" s="5">
        <f t="shared" si="10"/>
        <v>0</v>
      </c>
      <c r="K35" s="4"/>
      <c r="L35" s="4"/>
      <c r="M35" s="5">
        <f t="shared" si="11"/>
        <v>0</v>
      </c>
      <c r="N35" s="4"/>
      <c r="O35" s="4"/>
      <c r="P35" s="5">
        <f t="shared" si="12"/>
        <v>0</v>
      </c>
      <c r="Q35" s="5">
        <f t="shared" si="13"/>
        <v>0</v>
      </c>
      <c r="R35" s="5">
        <f t="shared" si="14"/>
        <v>0</v>
      </c>
      <c r="S35" s="5">
        <f t="shared" si="15"/>
        <v>0</v>
      </c>
    </row>
    <row r="36" spans="1:19" x14ac:dyDescent="0.3">
      <c r="A36" s="3" t="s">
        <v>38</v>
      </c>
      <c r="B36" s="5">
        <f>1387.24</f>
        <v>1387.24</v>
      </c>
      <c r="C36" s="5">
        <f>1555.42</f>
        <v>1555.42</v>
      </c>
      <c r="D36" s="5">
        <f t="shared" si="8"/>
        <v>-168.18000000000006</v>
      </c>
      <c r="E36" s="5">
        <f>1537.67</f>
        <v>1537.67</v>
      </c>
      <c r="F36" s="5">
        <f>1555.42</f>
        <v>1555.42</v>
      </c>
      <c r="G36" s="5">
        <f t="shared" si="9"/>
        <v>-17.75</v>
      </c>
      <c r="H36" s="5">
        <f>1435.76</f>
        <v>1435.76</v>
      </c>
      <c r="I36" s="5">
        <f>1555.42</f>
        <v>1555.42</v>
      </c>
      <c r="J36" s="5">
        <f t="shared" si="10"/>
        <v>-119.66000000000008</v>
      </c>
      <c r="K36" s="5">
        <f>1574.1</f>
        <v>1574.1</v>
      </c>
      <c r="L36" s="5">
        <f>1555.42</f>
        <v>1555.42</v>
      </c>
      <c r="M36" s="5">
        <f t="shared" si="11"/>
        <v>18.679999999999836</v>
      </c>
      <c r="N36" s="5">
        <f>2015.3</f>
        <v>2015.3</v>
      </c>
      <c r="O36" s="5">
        <f>1555.42</f>
        <v>1555.42</v>
      </c>
      <c r="P36" s="5">
        <f t="shared" si="12"/>
        <v>459.87999999999988</v>
      </c>
      <c r="Q36" s="5">
        <f t="shared" si="13"/>
        <v>7950.0700000000006</v>
      </c>
      <c r="R36" s="5">
        <f t="shared" si="14"/>
        <v>7777.1</v>
      </c>
      <c r="S36" s="5">
        <f t="shared" si="15"/>
        <v>172.97000000000025</v>
      </c>
    </row>
    <row r="37" spans="1:19" x14ac:dyDescent="0.3">
      <c r="A37" s="3" t="s">
        <v>39</v>
      </c>
      <c r="B37" s="5">
        <f>106.12</f>
        <v>106.12</v>
      </c>
      <c r="C37" s="5">
        <f>119</f>
        <v>119</v>
      </c>
      <c r="D37" s="5">
        <f t="shared" si="8"/>
        <v>-12.879999999999995</v>
      </c>
      <c r="E37" s="5">
        <f>117.64</f>
        <v>117.64</v>
      </c>
      <c r="F37" s="5">
        <f>119</f>
        <v>119</v>
      </c>
      <c r="G37" s="5">
        <f t="shared" si="9"/>
        <v>-1.3599999999999994</v>
      </c>
      <c r="H37" s="5">
        <f>109.84</f>
        <v>109.84</v>
      </c>
      <c r="I37" s="5">
        <f>119</f>
        <v>119</v>
      </c>
      <c r="J37" s="5">
        <f t="shared" si="10"/>
        <v>-9.1599999999999966</v>
      </c>
      <c r="K37" s="5">
        <f>164.76</f>
        <v>164.76</v>
      </c>
      <c r="L37" s="5">
        <f>119</f>
        <v>119</v>
      </c>
      <c r="M37" s="5">
        <f t="shared" si="11"/>
        <v>45.759999999999991</v>
      </c>
      <c r="N37" s="5">
        <f>109.84</f>
        <v>109.84</v>
      </c>
      <c r="O37" s="5">
        <f>119</f>
        <v>119</v>
      </c>
      <c r="P37" s="5">
        <f t="shared" si="12"/>
        <v>-9.1599999999999966</v>
      </c>
      <c r="Q37" s="5">
        <f t="shared" si="13"/>
        <v>608.20000000000005</v>
      </c>
      <c r="R37" s="5">
        <f t="shared" si="14"/>
        <v>595</v>
      </c>
      <c r="S37" s="5">
        <f t="shared" si="15"/>
        <v>13.200000000000045</v>
      </c>
    </row>
    <row r="38" spans="1:19" x14ac:dyDescent="0.3">
      <c r="A38" s="3" t="s">
        <v>40</v>
      </c>
      <c r="B38" s="5">
        <f>356.5</f>
        <v>356.5</v>
      </c>
      <c r="C38" s="5">
        <f>274</f>
        <v>274</v>
      </c>
      <c r="D38" s="5">
        <f t="shared" si="8"/>
        <v>82.5</v>
      </c>
      <c r="E38" s="5">
        <f>169.19</f>
        <v>169.19</v>
      </c>
      <c r="F38" s="5">
        <f>274</f>
        <v>274</v>
      </c>
      <c r="G38" s="5">
        <f t="shared" si="9"/>
        <v>-104.81</v>
      </c>
      <c r="H38" s="5">
        <f>233.2</f>
        <v>233.2</v>
      </c>
      <c r="I38" s="5">
        <f>274</f>
        <v>274</v>
      </c>
      <c r="J38" s="5">
        <f t="shared" si="10"/>
        <v>-40.800000000000011</v>
      </c>
      <c r="K38" s="5">
        <f>284.59</f>
        <v>284.58999999999997</v>
      </c>
      <c r="L38" s="5">
        <f>274</f>
        <v>274</v>
      </c>
      <c r="M38" s="5">
        <f t="shared" si="11"/>
        <v>10.589999999999975</v>
      </c>
      <c r="N38" s="5">
        <f>138.34</f>
        <v>138.34</v>
      </c>
      <c r="O38" s="5">
        <f>274</f>
        <v>274</v>
      </c>
      <c r="P38" s="5">
        <f t="shared" si="12"/>
        <v>-135.66</v>
      </c>
      <c r="Q38" s="5">
        <f t="shared" si="13"/>
        <v>1181.82</v>
      </c>
      <c r="R38" s="5">
        <f t="shared" si="14"/>
        <v>1370</v>
      </c>
      <c r="S38" s="5">
        <f t="shared" si="15"/>
        <v>-188.18000000000006</v>
      </c>
    </row>
    <row r="39" spans="1:19" x14ac:dyDescent="0.3">
      <c r="A39" s="3" t="s">
        <v>41</v>
      </c>
      <c r="B39" s="5">
        <f>27.27</f>
        <v>27.27</v>
      </c>
      <c r="C39" s="5">
        <f>21</f>
        <v>21</v>
      </c>
      <c r="D39" s="5">
        <f t="shared" si="8"/>
        <v>6.27</v>
      </c>
      <c r="E39" s="5">
        <f>12.94</f>
        <v>12.94</v>
      </c>
      <c r="F39" s="5">
        <f>21</f>
        <v>21</v>
      </c>
      <c r="G39" s="5">
        <f t="shared" si="9"/>
        <v>-8.06</v>
      </c>
      <c r="H39" s="5">
        <f>17.84</f>
        <v>17.84</v>
      </c>
      <c r="I39" s="5">
        <f>21</f>
        <v>21</v>
      </c>
      <c r="J39" s="5">
        <f t="shared" si="10"/>
        <v>-3.16</v>
      </c>
      <c r="K39" s="5">
        <f>24.2</f>
        <v>24.2</v>
      </c>
      <c r="L39" s="5">
        <f>21</f>
        <v>21</v>
      </c>
      <c r="M39" s="5">
        <f t="shared" si="11"/>
        <v>3.1999999999999993</v>
      </c>
      <c r="N39" s="5">
        <f>8.17</f>
        <v>8.17</v>
      </c>
      <c r="O39" s="5">
        <f>21</f>
        <v>21</v>
      </c>
      <c r="P39" s="5">
        <f t="shared" si="12"/>
        <v>-12.83</v>
      </c>
      <c r="Q39" s="5">
        <f t="shared" si="13"/>
        <v>90.42</v>
      </c>
      <c r="R39" s="5">
        <f t="shared" si="14"/>
        <v>105</v>
      </c>
      <c r="S39" s="5">
        <f t="shared" si="15"/>
        <v>-14.579999999999998</v>
      </c>
    </row>
    <row r="40" spans="1:19" x14ac:dyDescent="0.3">
      <c r="A40" s="3" t="s">
        <v>42</v>
      </c>
      <c r="B40" s="4"/>
      <c r="C40" s="5">
        <f>0</f>
        <v>0</v>
      </c>
      <c r="D40" s="5">
        <f t="shared" si="8"/>
        <v>0</v>
      </c>
      <c r="E40" s="4"/>
      <c r="F40" s="5">
        <f>0</f>
        <v>0</v>
      </c>
      <c r="G40" s="5">
        <f t="shared" si="9"/>
        <v>0</v>
      </c>
      <c r="H40" s="4"/>
      <c r="I40" s="5">
        <f>0</f>
        <v>0</v>
      </c>
      <c r="J40" s="5">
        <f t="shared" si="10"/>
        <v>0</v>
      </c>
      <c r="K40" s="4"/>
      <c r="L40" s="5">
        <f>0</f>
        <v>0</v>
      </c>
      <c r="M40" s="5">
        <f t="shared" si="11"/>
        <v>0</v>
      </c>
      <c r="N40" s="4"/>
      <c r="O40" s="5">
        <f>0</f>
        <v>0</v>
      </c>
      <c r="P40" s="5">
        <f t="shared" si="12"/>
        <v>0</v>
      </c>
      <c r="Q40" s="5">
        <f t="shared" si="13"/>
        <v>0</v>
      </c>
      <c r="R40" s="5">
        <f t="shared" si="14"/>
        <v>0</v>
      </c>
      <c r="S40" s="5">
        <f t="shared" si="15"/>
        <v>0</v>
      </c>
    </row>
    <row r="41" spans="1:19" x14ac:dyDescent="0.3">
      <c r="A41" s="3" t="s">
        <v>43</v>
      </c>
      <c r="B41" s="4"/>
      <c r="C41" s="5">
        <f>0</f>
        <v>0</v>
      </c>
      <c r="D41" s="5">
        <f t="shared" si="8"/>
        <v>0</v>
      </c>
      <c r="E41" s="4"/>
      <c r="F41" s="5">
        <f>0</f>
        <v>0</v>
      </c>
      <c r="G41" s="5">
        <f t="shared" si="9"/>
        <v>0</v>
      </c>
      <c r="H41" s="4"/>
      <c r="I41" s="5">
        <f>0</f>
        <v>0</v>
      </c>
      <c r="J41" s="5">
        <f t="shared" si="10"/>
        <v>0</v>
      </c>
      <c r="K41" s="4"/>
      <c r="L41" s="5">
        <f>0</f>
        <v>0</v>
      </c>
      <c r="M41" s="5">
        <f t="shared" si="11"/>
        <v>0</v>
      </c>
      <c r="N41" s="4"/>
      <c r="O41" s="5">
        <f>0</f>
        <v>0</v>
      </c>
      <c r="P41" s="5">
        <f t="shared" si="12"/>
        <v>0</v>
      </c>
      <c r="Q41" s="5">
        <f t="shared" si="13"/>
        <v>0</v>
      </c>
      <c r="R41" s="5">
        <f t="shared" si="14"/>
        <v>0</v>
      </c>
      <c r="S41" s="5">
        <f t="shared" si="15"/>
        <v>0</v>
      </c>
    </row>
    <row r="42" spans="1:19" x14ac:dyDescent="0.3">
      <c r="A42" s="3" t="s">
        <v>44</v>
      </c>
      <c r="B42" s="5">
        <f>187.32</f>
        <v>187.32</v>
      </c>
      <c r="C42" s="5">
        <f>375</f>
        <v>375</v>
      </c>
      <c r="D42" s="5">
        <f t="shared" si="8"/>
        <v>-187.68</v>
      </c>
      <c r="E42" s="5">
        <f>53.94</f>
        <v>53.94</v>
      </c>
      <c r="F42" s="5">
        <f>375</f>
        <v>375</v>
      </c>
      <c r="G42" s="5">
        <f t="shared" si="9"/>
        <v>-321.06</v>
      </c>
      <c r="H42" s="5">
        <f>214.28</f>
        <v>214.28</v>
      </c>
      <c r="I42" s="5">
        <f>375</f>
        <v>375</v>
      </c>
      <c r="J42" s="5">
        <f t="shared" si="10"/>
        <v>-160.72</v>
      </c>
      <c r="K42" s="5">
        <f>11.9</f>
        <v>11.9</v>
      </c>
      <c r="L42" s="5">
        <f>375</f>
        <v>375</v>
      </c>
      <c r="M42" s="5">
        <f t="shared" si="11"/>
        <v>-363.1</v>
      </c>
      <c r="N42" s="5">
        <f>72.46</f>
        <v>72.459999999999994</v>
      </c>
      <c r="O42" s="5">
        <f>375</f>
        <v>375</v>
      </c>
      <c r="P42" s="5">
        <f t="shared" si="12"/>
        <v>-302.54000000000002</v>
      </c>
      <c r="Q42" s="5">
        <f t="shared" si="13"/>
        <v>539.9</v>
      </c>
      <c r="R42" s="5">
        <f t="shared" si="14"/>
        <v>1875</v>
      </c>
      <c r="S42" s="5">
        <f t="shared" si="15"/>
        <v>-1335.1</v>
      </c>
    </row>
    <row r="43" spans="1:19" x14ac:dyDescent="0.3">
      <c r="A43" s="3" t="s">
        <v>45</v>
      </c>
      <c r="B43" s="4"/>
      <c r="C43" s="5">
        <f>250</f>
        <v>250</v>
      </c>
      <c r="D43" s="5">
        <f t="shared" si="8"/>
        <v>-250</v>
      </c>
      <c r="E43" s="4"/>
      <c r="F43" s="5">
        <f>0</f>
        <v>0</v>
      </c>
      <c r="G43" s="5">
        <f t="shared" si="9"/>
        <v>0</v>
      </c>
      <c r="H43" s="4"/>
      <c r="I43" s="5">
        <f>0</f>
        <v>0</v>
      </c>
      <c r="J43" s="5">
        <f t="shared" si="10"/>
        <v>0</v>
      </c>
      <c r="K43" s="5">
        <f>545</f>
        <v>545</v>
      </c>
      <c r="L43" s="5">
        <f>0</f>
        <v>0</v>
      </c>
      <c r="M43" s="5">
        <f t="shared" si="11"/>
        <v>545</v>
      </c>
      <c r="N43" s="4"/>
      <c r="O43" s="5">
        <f>0</f>
        <v>0</v>
      </c>
      <c r="P43" s="5">
        <f t="shared" si="12"/>
        <v>0</v>
      </c>
      <c r="Q43" s="5">
        <f t="shared" si="13"/>
        <v>545</v>
      </c>
      <c r="R43" s="5">
        <f t="shared" si="14"/>
        <v>250</v>
      </c>
      <c r="S43" s="5">
        <f t="shared" si="15"/>
        <v>295</v>
      </c>
    </row>
    <row r="44" spans="1:19" x14ac:dyDescent="0.3">
      <c r="A44" s="3" t="s">
        <v>46</v>
      </c>
      <c r="B44" s="6">
        <f>((((((((B35)+(B36))+(B37))+(B38))+(B39))+(B40))+(B41))+(B42))+(B43)</f>
        <v>2064.4500000000003</v>
      </c>
      <c r="C44" s="6">
        <f>((((((((C35)+(C36))+(C37))+(C38))+(C39))+(C40))+(C41))+(C42))+(C43)</f>
        <v>2594.42</v>
      </c>
      <c r="D44" s="6">
        <f t="shared" si="8"/>
        <v>-529.9699999999998</v>
      </c>
      <c r="E44" s="6">
        <f>((((((((E35)+(E36))+(E37))+(E38))+(E39))+(E40))+(E41))+(E42))+(E43)</f>
        <v>1891.3800000000003</v>
      </c>
      <c r="F44" s="6">
        <f>((((((((F35)+(F36))+(F37))+(F38))+(F39))+(F40))+(F41))+(F42))+(F43)</f>
        <v>2344.42</v>
      </c>
      <c r="G44" s="6">
        <f t="shared" si="9"/>
        <v>-453.03999999999974</v>
      </c>
      <c r="H44" s="6">
        <f>((((((((H35)+(H36))+(H37))+(H38))+(H39))+(H40))+(H41))+(H42))+(H43)</f>
        <v>2010.9199999999998</v>
      </c>
      <c r="I44" s="6">
        <f>((((((((I35)+(I36))+(I37))+(I38))+(I39))+(I40))+(I41))+(I42))+(I43)</f>
        <v>2344.42</v>
      </c>
      <c r="J44" s="6">
        <f t="shared" si="10"/>
        <v>-333.50000000000023</v>
      </c>
      <c r="K44" s="6">
        <f>((((((((K35)+(K36))+(K37))+(K38))+(K39))+(K40))+(K41))+(K42))+(K43)</f>
        <v>2604.5499999999997</v>
      </c>
      <c r="L44" s="6">
        <f>((((((((L35)+(L36))+(L37))+(L38))+(L39))+(L40))+(L41))+(L42))+(L43)</f>
        <v>2344.42</v>
      </c>
      <c r="M44" s="6">
        <f t="shared" si="11"/>
        <v>260.12999999999965</v>
      </c>
      <c r="N44" s="6">
        <f>((((((((N35)+(N36))+(N37))+(N38))+(N39))+(N40))+(N41))+(N42))+(N43)</f>
        <v>2344.11</v>
      </c>
      <c r="O44" s="6">
        <f>((((((((O35)+(O36))+(O37))+(O38))+(O39))+(O40))+(O41))+(O42))+(O43)</f>
        <v>2344.42</v>
      </c>
      <c r="P44" s="6">
        <f t="shared" si="12"/>
        <v>-0.30999999999994543</v>
      </c>
      <c r="Q44" s="6">
        <f t="shared" si="13"/>
        <v>10915.410000000002</v>
      </c>
      <c r="R44" s="6">
        <f t="shared" si="14"/>
        <v>11972.1</v>
      </c>
      <c r="S44" s="6">
        <f t="shared" si="15"/>
        <v>-1056.6899999999987</v>
      </c>
    </row>
    <row r="45" spans="1:19" x14ac:dyDescent="0.3">
      <c r="A45" s="3" t="s">
        <v>47</v>
      </c>
      <c r="B45" s="4"/>
      <c r="C45" s="4"/>
      <c r="D45" s="5">
        <f t="shared" si="8"/>
        <v>0</v>
      </c>
      <c r="E45" s="4"/>
      <c r="F45" s="4"/>
      <c r="G45" s="5">
        <f t="shared" si="9"/>
        <v>0</v>
      </c>
      <c r="H45" s="4"/>
      <c r="I45" s="4"/>
      <c r="J45" s="5">
        <f t="shared" si="10"/>
        <v>0</v>
      </c>
      <c r="K45" s="4"/>
      <c r="L45" s="4"/>
      <c r="M45" s="5">
        <f t="shared" si="11"/>
        <v>0</v>
      </c>
      <c r="N45" s="4"/>
      <c r="O45" s="4"/>
      <c r="P45" s="5">
        <f t="shared" si="12"/>
        <v>0</v>
      </c>
      <c r="Q45" s="5">
        <f t="shared" si="13"/>
        <v>0</v>
      </c>
      <c r="R45" s="5">
        <f t="shared" si="14"/>
        <v>0</v>
      </c>
      <c r="S45" s="5">
        <f t="shared" si="15"/>
        <v>0</v>
      </c>
    </row>
    <row r="46" spans="1:19" x14ac:dyDescent="0.3">
      <c r="A46" s="3" t="s">
        <v>48</v>
      </c>
      <c r="B46" s="5">
        <f>6557</f>
        <v>6557</v>
      </c>
      <c r="C46" s="5">
        <f>6500.33</f>
        <v>6500.33</v>
      </c>
      <c r="D46" s="5">
        <f t="shared" si="8"/>
        <v>56.670000000000073</v>
      </c>
      <c r="E46" s="5">
        <f>6557</f>
        <v>6557</v>
      </c>
      <c r="F46" s="5">
        <f>6500.33</f>
        <v>6500.33</v>
      </c>
      <c r="G46" s="5">
        <f t="shared" si="9"/>
        <v>56.670000000000073</v>
      </c>
      <c r="H46" s="5">
        <f>6489</f>
        <v>6489</v>
      </c>
      <c r="I46" s="5">
        <f>6500.33</f>
        <v>6500.33</v>
      </c>
      <c r="J46" s="5">
        <f t="shared" si="10"/>
        <v>-11.329999999999927</v>
      </c>
      <c r="K46" s="5">
        <f>6489</f>
        <v>6489</v>
      </c>
      <c r="L46" s="5">
        <f>6500.33</f>
        <v>6500.33</v>
      </c>
      <c r="M46" s="5">
        <f t="shared" si="11"/>
        <v>-11.329999999999927</v>
      </c>
      <c r="N46" s="5">
        <f>6489</f>
        <v>6489</v>
      </c>
      <c r="O46" s="5">
        <f>6500.33</f>
        <v>6500.33</v>
      </c>
      <c r="P46" s="5">
        <f t="shared" si="12"/>
        <v>-11.329999999999927</v>
      </c>
      <c r="Q46" s="5">
        <f t="shared" si="13"/>
        <v>32581</v>
      </c>
      <c r="R46" s="5">
        <f t="shared" si="14"/>
        <v>32501.65</v>
      </c>
      <c r="S46" s="5">
        <f t="shared" si="15"/>
        <v>79.349999999998545</v>
      </c>
    </row>
    <row r="47" spans="1:19" x14ac:dyDescent="0.3">
      <c r="A47" s="3" t="s">
        <v>49</v>
      </c>
      <c r="B47" s="4"/>
      <c r="C47" s="5">
        <f>0</f>
        <v>0</v>
      </c>
      <c r="D47" s="5">
        <f t="shared" si="8"/>
        <v>0</v>
      </c>
      <c r="E47" s="5">
        <f>5000</f>
        <v>5000</v>
      </c>
      <c r="F47" s="5">
        <f>5000</f>
        <v>5000</v>
      </c>
      <c r="G47" s="5">
        <f t="shared" si="9"/>
        <v>0</v>
      </c>
      <c r="H47" s="4"/>
      <c r="I47" s="5">
        <f>0</f>
        <v>0</v>
      </c>
      <c r="J47" s="5">
        <f t="shared" si="10"/>
        <v>0</v>
      </c>
      <c r="K47" s="4"/>
      <c r="L47" s="5">
        <f>0</f>
        <v>0</v>
      </c>
      <c r="M47" s="5">
        <f t="shared" si="11"/>
        <v>0</v>
      </c>
      <c r="N47" s="4"/>
      <c r="O47" s="5">
        <f>0</f>
        <v>0</v>
      </c>
      <c r="P47" s="5">
        <f t="shared" si="12"/>
        <v>0</v>
      </c>
      <c r="Q47" s="5">
        <f t="shared" si="13"/>
        <v>5000</v>
      </c>
      <c r="R47" s="5">
        <f t="shared" si="14"/>
        <v>5000</v>
      </c>
      <c r="S47" s="5">
        <f t="shared" si="15"/>
        <v>0</v>
      </c>
    </row>
    <row r="48" spans="1:19" x14ac:dyDescent="0.3">
      <c r="A48" s="3" t="s">
        <v>50</v>
      </c>
      <c r="B48" s="4"/>
      <c r="C48" s="5">
        <f>0</f>
        <v>0</v>
      </c>
      <c r="D48" s="5">
        <f t="shared" si="8"/>
        <v>0</v>
      </c>
      <c r="E48" s="4"/>
      <c r="F48" s="5">
        <f>0</f>
        <v>0</v>
      </c>
      <c r="G48" s="5">
        <f t="shared" si="9"/>
        <v>0</v>
      </c>
      <c r="H48" s="4"/>
      <c r="I48" s="5">
        <f>0</f>
        <v>0</v>
      </c>
      <c r="J48" s="5">
        <f t="shared" si="10"/>
        <v>0</v>
      </c>
      <c r="K48" s="4"/>
      <c r="L48" s="5">
        <f>0</f>
        <v>0</v>
      </c>
      <c r="M48" s="5">
        <f t="shared" si="11"/>
        <v>0</v>
      </c>
      <c r="N48" s="4"/>
      <c r="O48" s="5">
        <f>1500</f>
        <v>1500</v>
      </c>
      <c r="P48" s="5">
        <f t="shared" si="12"/>
        <v>-1500</v>
      </c>
      <c r="Q48" s="5">
        <f t="shared" si="13"/>
        <v>0</v>
      </c>
      <c r="R48" s="5">
        <f t="shared" si="14"/>
        <v>1500</v>
      </c>
      <c r="S48" s="5">
        <f t="shared" si="15"/>
        <v>-1500</v>
      </c>
    </row>
    <row r="49" spans="1:19" x14ac:dyDescent="0.3">
      <c r="A49" s="3" t="s">
        <v>51</v>
      </c>
      <c r="B49" s="4"/>
      <c r="C49" s="5">
        <f>0</f>
        <v>0</v>
      </c>
      <c r="D49" s="5">
        <f t="shared" si="8"/>
        <v>0</v>
      </c>
      <c r="E49" s="4"/>
      <c r="F49" s="5">
        <f>0</f>
        <v>0</v>
      </c>
      <c r="G49" s="5">
        <f t="shared" si="9"/>
        <v>0</v>
      </c>
      <c r="H49" s="4"/>
      <c r="I49" s="5">
        <f>0</f>
        <v>0</v>
      </c>
      <c r="J49" s="5">
        <f t="shared" si="10"/>
        <v>0</v>
      </c>
      <c r="K49" s="4"/>
      <c r="L49" s="5">
        <f>0</f>
        <v>0</v>
      </c>
      <c r="M49" s="5">
        <f t="shared" si="11"/>
        <v>0</v>
      </c>
      <c r="N49" s="4"/>
      <c r="O49" s="5">
        <f>0</f>
        <v>0</v>
      </c>
      <c r="P49" s="5">
        <f t="shared" si="12"/>
        <v>0</v>
      </c>
      <c r="Q49" s="5">
        <f t="shared" si="13"/>
        <v>0</v>
      </c>
      <c r="R49" s="5">
        <f t="shared" si="14"/>
        <v>0</v>
      </c>
      <c r="S49" s="5">
        <f t="shared" si="15"/>
        <v>0</v>
      </c>
    </row>
    <row r="50" spans="1:19" x14ac:dyDescent="0.3">
      <c r="A50" s="3" t="s">
        <v>52</v>
      </c>
      <c r="B50" s="4"/>
      <c r="C50" s="5">
        <f>0</f>
        <v>0</v>
      </c>
      <c r="D50" s="5">
        <f t="shared" si="8"/>
        <v>0</v>
      </c>
      <c r="E50" s="4"/>
      <c r="F50" s="5">
        <f>0</f>
        <v>0</v>
      </c>
      <c r="G50" s="5">
        <f t="shared" si="9"/>
        <v>0</v>
      </c>
      <c r="H50" s="4"/>
      <c r="I50" s="5">
        <f>0</f>
        <v>0</v>
      </c>
      <c r="J50" s="5">
        <f t="shared" si="10"/>
        <v>0</v>
      </c>
      <c r="K50" s="4"/>
      <c r="L50" s="5">
        <f>0</f>
        <v>0</v>
      </c>
      <c r="M50" s="5">
        <f t="shared" si="11"/>
        <v>0</v>
      </c>
      <c r="N50" s="4"/>
      <c r="O50" s="5">
        <f>0</f>
        <v>0</v>
      </c>
      <c r="P50" s="5">
        <f t="shared" si="12"/>
        <v>0</v>
      </c>
      <c r="Q50" s="5">
        <f t="shared" si="13"/>
        <v>0</v>
      </c>
      <c r="R50" s="5">
        <f t="shared" si="14"/>
        <v>0</v>
      </c>
      <c r="S50" s="5">
        <f t="shared" si="15"/>
        <v>0</v>
      </c>
    </row>
    <row r="51" spans="1:19" x14ac:dyDescent="0.3">
      <c r="A51" s="3" t="s">
        <v>53</v>
      </c>
      <c r="B51" s="4"/>
      <c r="C51" s="5">
        <f>0</f>
        <v>0</v>
      </c>
      <c r="D51" s="5">
        <f t="shared" si="8"/>
        <v>0</v>
      </c>
      <c r="E51" s="4"/>
      <c r="F51" s="5">
        <f>0</f>
        <v>0</v>
      </c>
      <c r="G51" s="5">
        <f t="shared" si="9"/>
        <v>0</v>
      </c>
      <c r="H51" s="4"/>
      <c r="I51" s="5">
        <f>0</f>
        <v>0</v>
      </c>
      <c r="J51" s="5">
        <f t="shared" si="10"/>
        <v>0</v>
      </c>
      <c r="K51" s="4"/>
      <c r="L51" s="5">
        <f>0</f>
        <v>0</v>
      </c>
      <c r="M51" s="5">
        <f t="shared" si="11"/>
        <v>0</v>
      </c>
      <c r="N51" s="4"/>
      <c r="O51" s="5">
        <f>0</f>
        <v>0</v>
      </c>
      <c r="P51" s="5">
        <f t="shared" si="12"/>
        <v>0</v>
      </c>
      <c r="Q51" s="5">
        <f t="shared" si="13"/>
        <v>0</v>
      </c>
      <c r="R51" s="5">
        <f t="shared" si="14"/>
        <v>0</v>
      </c>
      <c r="S51" s="5">
        <f t="shared" si="15"/>
        <v>0</v>
      </c>
    </row>
    <row r="52" spans="1:19" x14ac:dyDescent="0.3">
      <c r="A52" s="3" t="s">
        <v>54</v>
      </c>
      <c r="B52" s="6">
        <f>((((((B45)+(B46))+(B47))+(B48))+(B49))+(B50))+(B51)</f>
        <v>6557</v>
      </c>
      <c r="C52" s="6">
        <f>((((((C45)+(C46))+(C47))+(C48))+(C49))+(C50))+(C51)</f>
        <v>6500.33</v>
      </c>
      <c r="D52" s="6">
        <f t="shared" si="8"/>
        <v>56.670000000000073</v>
      </c>
      <c r="E52" s="6">
        <f>((((((E45)+(E46))+(E47))+(E48))+(E49))+(E50))+(E51)</f>
        <v>11557</v>
      </c>
      <c r="F52" s="6">
        <f>((((((F45)+(F46))+(F47))+(F48))+(F49))+(F50))+(F51)</f>
        <v>11500.33</v>
      </c>
      <c r="G52" s="6">
        <f t="shared" si="9"/>
        <v>56.670000000000073</v>
      </c>
      <c r="H52" s="6">
        <f>((((((H45)+(H46))+(H47))+(H48))+(H49))+(H50))+(H51)</f>
        <v>6489</v>
      </c>
      <c r="I52" s="6">
        <f>((((((I45)+(I46))+(I47))+(I48))+(I49))+(I50))+(I51)</f>
        <v>6500.33</v>
      </c>
      <c r="J52" s="6">
        <f t="shared" si="10"/>
        <v>-11.329999999999927</v>
      </c>
      <c r="K52" s="6">
        <f>((((((K45)+(K46))+(K47))+(K48))+(K49))+(K50))+(K51)</f>
        <v>6489</v>
      </c>
      <c r="L52" s="6">
        <f>((((((L45)+(L46))+(L47))+(L48))+(L49))+(L50))+(L51)</f>
        <v>6500.33</v>
      </c>
      <c r="M52" s="6">
        <f t="shared" si="11"/>
        <v>-11.329999999999927</v>
      </c>
      <c r="N52" s="6">
        <f>((((((N45)+(N46))+(N47))+(N48))+(N49))+(N50))+(N51)</f>
        <v>6489</v>
      </c>
      <c r="O52" s="6">
        <f>((((((O45)+(O46))+(O47))+(O48))+(O49))+(O50))+(O51)</f>
        <v>8000.33</v>
      </c>
      <c r="P52" s="6">
        <f t="shared" si="12"/>
        <v>-1511.33</v>
      </c>
      <c r="Q52" s="6">
        <f t="shared" si="13"/>
        <v>37581</v>
      </c>
      <c r="R52" s="6">
        <f t="shared" si="14"/>
        <v>39001.65</v>
      </c>
      <c r="S52" s="6">
        <f t="shared" si="15"/>
        <v>-1420.6500000000015</v>
      </c>
    </row>
    <row r="53" spans="1:19" x14ac:dyDescent="0.3">
      <c r="A53" s="3" t="s">
        <v>55</v>
      </c>
      <c r="B53" s="4"/>
      <c r="C53" s="4"/>
      <c r="D53" s="5">
        <f t="shared" si="8"/>
        <v>0</v>
      </c>
      <c r="E53" s="4"/>
      <c r="F53" s="4"/>
      <c r="G53" s="5">
        <f t="shared" si="9"/>
        <v>0</v>
      </c>
      <c r="H53" s="4"/>
      <c r="I53" s="4"/>
      <c r="J53" s="5">
        <f t="shared" si="10"/>
        <v>0</v>
      </c>
      <c r="K53" s="4"/>
      <c r="L53" s="4"/>
      <c r="M53" s="5">
        <f t="shared" si="11"/>
        <v>0</v>
      </c>
      <c r="N53" s="4"/>
      <c r="O53" s="4"/>
      <c r="P53" s="5">
        <f t="shared" si="12"/>
        <v>0</v>
      </c>
      <c r="Q53" s="5">
        <f t="shared" si="13"/>
        <v>0</v>
      </c>
      <c r="R53" s="5">
        <f t="shared" si="14"/>
        <v>0</v>
      </c>
      <c r="S53" s="5">
        <f t="shared" si="15"/>
        <v>0</v>
      </c>
    </row>
    <row r="54" spans="1:19" x14ac:dyDescent="0.3">
      <c r="A54" s="3" t="s">
        <v>56</v>
      </c>
      <c r="B54" s="4"/>
      <c r="C54" s="5">
        <f>0</f>
        <v>0</v>
      </c>
      <c r="D54" s="5">
        <f t="shared" si="8"/>
        <v>0</v>
      </c>
      <c r="E54" s="4"/>
      <c r="F54" s="5">
        <f>0</f>
        <v>0</v>
      </c>
      <c r="G54" s="5">
        <f t="shared" si="9"/>
        <v>0</v>
      </c>
      <c r="H54" s="5">
        <f>1500</f>
        <v>1500</v>
      </c>
      <c r="I54" s="5">
        <f>1500</f>
        <v>1500</v>
      </c>
      <c r="J54" s="5">
        <f t="shared" si="10"/>
        <v>0</v>
      </c>
      <c r="K54" s="4"/>
      <c r="L54" s="5">
        <f>0</f>
        <v>0</v>
      </c>
      <c r="M54" s="5">
        <f t="shared" si="11"/>
        <v>0</v>
      </c>
      <c r="N54" s="5">
        <f>1500</f>
        <v>1500</v>
      </c>
      <c r="O54" s="5">
        <f>0</f>
        <v>0</v>
      </c>
      <c r="P54" s="5">
        <f t="shared" si="12"/>
        <v>1500</v>
      </c>
      <c r="Q54" s="5">
        <f t="shared" si="13"/>
        <v>3000</v>
      </c>
      <c r="R54" s="5">
        <f t="shared" si="14"/>
        <v>1500</v>
      </c>
      <c r="S54" s="5">
        <f t="shared" si="15"/>
        <v>1500</v>
      </c>
    </row>
    <row r="55" spans="1:19" x14ac:dyDescent="0.3">
      <c r="A55" s="3" t="s">
        <v>57</v>
      </c>
      <c r="B55" s="4"/>
      <c r="C55" s="5">
        <f>0</f>
        <v>0</v>
      </c>
      <c r="D55" s="5">
        <f t="shared" si="8"/>
        <v>0</v>
      </c>
      <c r="E55" s="4"/>
      <c r="F55" s="5">
        <f>0</f>
        <v>0</v>
      </c>
      <c r="G55" s="5">
        <f t="shared" si="9"/>
        <v>0</v>
      </c>
      <c r="H55" s="4"/>
      <c r="I55" s="5">
        <f>0</f>
        <v>0</v>
      </c>
      <c r="J55" s="5">
        <f t="shared" si="10"/>
        <v>0</v>
      </c>
      <c r="K55" s="4"/>
      <c r="L55" s="5">
        <f>1000</f>
        <v>1000</v>
      </c>
      <c r="M55" s="5">
        <f t="shared" si="11"/>
        <v>-1000</v>
      </c>
      <c r="N55" s="5">
        <f>1000</f>
        <v>1000</v>
      </c>
      <c r="O55" s="5">
        <f>0</f>
        <v>0</v>
      </c>
      <c r="P55" s="5">
        <f t="shared" si="12"/>
        <v>1000</v>
      </c>
      <c r="Q55" s="5">
        <f t="shared" si="13"/>
        <v>1000</v>
      </c>
      <c r="R55" s="5">
        <f t="shared" si="14"/>
        <v>1000</v>
      </c>
      <c r="S55" s="5">
        <f t="shared" si="15"/>
        <v>0</v>
      </c>
    </row>
    <row r="56" spans="1:19" x14ac:dyDescent="0.3">
      <c r="A56" s="3" t="s">
        <v>58</v>
      </c>
      <c r="B56" s="4"/>
      <c r="C56" s="5">
        <f>0</f>
        <v>0</v>
      </c>
      <c r="D56" s="5">
        <f t="shared" si="8"/>
        <v>0</v>
      </c>
      <c r="E56" s="4"/>
      <c r="F56" s="5">
        <f>0</f>
        <v>0</v>
      </c>
      <c r="G56" s="5">
        <f t="shared" si="9"/>
        <v>0</v>
      </c>
      <c r="H56" s="4"/>
      <c r="I56" s="5">
        <f>0</f>
        <v>0</v>
      </c>
      <c r="J56" s="5">
        <f t="shared" si="10"/>
        <v>0</v>
      </c>
      <c r="K56" s="4"/>
      <c r="L56" s="5">
        <f>0</f>
        <v>0</v>
      </c>
      <c r="M56" s="5">
        <f t="shared" si="11"/>
        <v>0</v>
      </c>
      <c r="N56" s="4"/>
      <c r="O56" s="5">
        <f>0</f>
        <v>0</v>
      </c>
      <c r="P56" s="5">
        <f t="shared" si="12"/>
        <v>0</v>
      </c>
      <c r="Q56" s="5">
        <f t="shared" si="13"/>
        <v>0</v>
      </c>
      <c r="R56" s="5">
        <f t="shared" si="14"/>
        <v>0</v>
      </c>
      <c r="S56" s="5">
        <f t="shared" si="15"/>
        <v>0</v>
      </c>
    </row>
    <row r="57" spans="1:19" x14ac:dyDescent="0.3">
      <c r="A57" s="3" t="s">
        <v>59</v>
      </c>
      <c r="B57" s="4"/>
      <c r="C57" s="5">
        <f>0</f>
        <v>0</v>
      </c>
      <c r="D57" s="5">
        <f t="shared" si="8"/>
        <v>0</v>
      </c>
      <c r="E57" s="4"/>
      <c r="F57" s="5">
        <f>0</f>
        <v>0</v>
      </c>
      <c r="G57" s="5">
        <f t="shared" si="9"/>
        <v>0</v>
      </c>
      <c r="H57" s="4"/>
      <c r="I57" s="5">
        <f>0</f>
        <v>0</v>
      </c>
      <c r="J57" s="5">
        <f t="shared" si="10"/>
        <v>0</v>
      </c>
      <c r="K57" s="4"/>
      <c r="L57" s="5">
        <f>0</f>
        <v>0</v>
      </c>
      <c r="M57" s="5">
        <f t="shared" si="11"/>
        <v>0</v>
      </c>
      <c r="N57" s="4"/>
      <c r="O57" s="5">
        <f>0</f>
        <v>0</v>
      </c>
      <c r="P57" s="5">
        <f t="shared" si="12"/>
        <v>0</v>
      </c>
      <c r="Q57" s="5">
        <f t="shared" si="13"/>
        <v>0</v>
      </c>
      <c r="R57" s="5">
        <f t="shared" si="14"/>
        <v>0</v>
      </c>
      <c r="S57" s="5">
        <f t="shared" si="15"/>
        <v>0</v>
      </c>
    </row>
    <row r="58" spans="1:19" x14ac:dyDescent="0.3">
      <c r="A58" s="3" t="s">
        <v>60</v>
      </c>
      <c r="B58" s="4"/>
      <c r="C58" s="5">
        <f>0</f>
        <v>0</v>
      </c>
      <c r="D58" s="5">
        <f t="shared" ref="D58:D89" si="16">(B58)-(C58)</f>
        <v>0</v>
      </c>
      <c r="E58" s="4"/>
      <c r="F58" s="5">
        <f>0</f>
        <v>0</v>
      </c>
      <c r="G58" s="5">
        <f t="shared" ref="G58:G89" si="17">(E58)-(F58)</f>
        <v>0</v>
      </c>
      <c r="H58" s="4"/>
      <c r="I58" s="5">
        <f>0</f>
        <v>0</v>
      </c>
      <c r="J58" s="5">
        <f t="shared" ref="J58:J89" si="18">(H58)-(I58)</f>
        <v>0</v>
      </c>
      <c r="K58" s="4"/>
      <c r="L58" s="5">
        <f>0</f>
        <v>0</v>
      </c>
      <c r="M58" s="5">
        <f t="shared" ref="M58:M89" si="19">(K58)-(L58)</f>
        <v>0</v>
      </c>
      <c r="N58" s="4"/>
      <c r="O58" s="5">
        <f>0</f>
        <v>0</v>
      </c>
      <c r="P58" s="5">
        <f t="shared" ref="P58:P89" si="20">(N58)-(O58)</f>
        <v>0</v>
      </c>
      <c r="Q58" s="5">
        <f t="shared" ref="Q58:Q89" si="21">((((B58)+(E58))+(H58))+(K58))+(N58)</f>
        <v>0</v>
      </c>
      <c r="R58" s="5">
        <f t="shared" ref="R58:R89" si="22">((((C58)+(F58))+(I58))+(L58))+(O58)</f>
        <v>0</v>
      </c>
      <c r="S58" s="5">
        <f t="shared" ref="S58:S89" si="23">(Q58)-(R58)</f>
        <v>0</v>
      </c>
    </row>
    <row r="59" spans="1:19" x14ac:dyDescent="0.3">
      <c r="A59" s="3" t="s">
        <v>61</v>
      </c>
      <c r="B59" s="4"/>
      <c r="C59" s="5">
        <f>0</f>
        <v>0</v>
      </c>
      <c r="D59" s="5">
        <f t="shared" si="16"/>
        <v>0</v>
      </c>
      <c r="E59" s="4"/>
      <c r="F59" s="5">
        <f>0</f>
        <v>0</v>
      </c>
      <c r="G59" s="5">
        <f t="shared" si="17"/>
        <v>0</v>
      </c>
      <c r="H59" s="4"/>
      <c r="I59" s="5">
        <f>0</f>
        <v>0</v>
      </c>
      <c r="J59" s="5">
        <f t="shared" si="18"/>
        <v>0</v>
      </c>
      <c r="K59" s="4"/>
      <c r="L59" s="5">
        <f>1500</f>
        <v>1500</v>
      </c>
      <c r="M59" s="5">
        <f t="shared" si="19"/>
        <v>-1500</v>
      </c>
      <c r="N59" s="5">
        <f>1500</f>
        <v>1500</v>
      </c>
      <c r="O59" s="5">
        <f>0</f>
        <v>0</v>
      </c>
      <c r="P59" s="5">
        <f t="shared" si="20"/>
        <v>1500</v>
      </c>
      <c r="Q59" s="5">
        <f t="shared" si="21"/>
        <v>1500</v>
      </c>
      <c r="R59" s="5">
        <f t="shared" si="22"/>
        <v>1500</v>
      </c>
      <c r="S59" s="5">
        <f t="shared" si="23"/>
        <v>0</v>
      </c>
    </row>
    <row r="60" spans="1:19" x14ac:dyDescent="0.3">
      <c r="A60" s="3" t="s">
        <v>62</v>
      </c>
      <c r="B60" s="4"/>
      <c r="C60" s="5">
        <f>0</f>
        <v>0</v>
      </c>
      <c r="D60" s="5">
        <f t="shared" si="16"/>
        <v>0</v>
      </c>
      <c r="E60" s="4"/>
      <c r="F60" s="5">
        <f>0</f>
        <v>0</v>
      </c>
      <c r="G60" s="5">
        <f t="shared" si="17"/>
        <v>0</v>
      </c>
      <c r="H60" s="4"/>
      <c r="I60" s="5">
        <f>0</f>
        <v>0</v>
      </c>
      <c r="J60" s="5">
        <f t="shared" si="18"/>
        <v>0</v>
      </c>
      <c r="K60" s="4"/>
      <c r="L60" s="5">
        <f>0</f>
        <v>0</v>
      </c>
      <c r="M60" s="5">
        <f t="shared" si="19"/>
        <v>0</v>
      </c>
      <c r="N60" s="4"/>
      <c r="O60" s="5">
        <f>0</f>
        <v>0</v>
      </c>
      <c r="P60" s="5">
        <f t="shared" si="20"/>
        <v>0</v>
      </c>
      <c r="Q60" s="5">
        <f t="shared" si="21"/>
        <v>0</v>
      </c>
      <c r="R60" s="5">
        <f t="shared" si="22"/>
        <v>0</v>
      </c>
      <c r="S60" s="5">
        <f t="shared" si="23"/>
        <v>0</v>
      </c>
    </row>
    <row r="61" spans="1:19" x14ac:dyDescent="0.3">
      <c r="A61" s="3" t="s">
        <v>63</v>
      </c>
      <c r="B61" s="4"/>
      <c r="C61" s="5">
        <f>0</f>
        <v>0</v>
      </c>
      <c r="D61" s="5">
        <f t="shared" si="16"/>
        <v>0</v>
      </c>
      <c r="E61" s="4"/>
      <c r="F61" s="5">
        <f>0</f>
        <v>0</v>
      </c>
      <c r="G61" s="5">
        <f t="shared" si="17"/>
        <v>0</v>
      </c>
      <c r="H61" s="4"/>
      <c r="I61" s="5">
        <f>0</f>
        <v>0</v>
      </c>
      <c r="J61" s="5">
        <f t="shared" si="18"/>
        <v>0</v>
      </c>
      <c r="K61" s="4"/>
      <c r="L61" s="5">
        <f>0</f>
        <v>0</v>
      </c>
      <c r="M61" s="5">
        <f t="shared" si="19"/>
        <v>0</v>
      </c>
      <c r="N61" s="4"/>
      <c r="O61" s="5">
        <f>0</f>
        <v>0</v>
      </c>
      <c r="P61" s="5">
        <f t="shared" si="20"/>
        <v>0</v>
      </c>
      <c r="Q61" s="5">
        <f t="shared" si="21"/>
        <v>0</v>
      </c>
      <c r="R61" s="5">
        <f t="shared" si="22"/>
        <v>0</v>
      </c>
      <c r="S61" s="5">
        <f t="shared" si="23"/>
        <v>0</v>
      </c>
    </row>
    <row r="62" spans="1:19" x14ac:dyDescent="0.3">
      <c r="A62" s="3" t="s">
        <v>64</v>
      </c>
      <c r="B62" s="4"/>
      <c r="C62" s="5">
        <f>0</f>
        <v>0</v>
      </c>
      <c r="D62" s="5">
        <f t="shared" si="16"/>
        <v>0</v>
      </c>
      <c r="E62" s="4"/>
      <c r="F62" s="5">
        <f>0</f>
        <v>0</v>
      </c>
      <c r="G62" s="5">
        <f t="shared" si="17"/>
        <v>0</v>
      </c>
      <c r="H62" s="4"/>
      <c r="I62" s="5">
        <f>0</f>
        <v>0</v>
      </c>
      <c r="J62" s="5">
        <f t="shared" si="18"/>
        <v>0</v>
      </c>
      <c r="K62" s="4"/>
      <c r="L62" s="5">
        <f>0</f>
        <v>0</v>
      </c>
      <c r="M62" s="5">
        <f t="shared" si="19"/>
        <v>0</v>
      </c>
      <c r="N62" s="4"/>
      <c r="O62" s="5">
        <f>0</f>
        <v>0</v>
      </c>
      <c r="P62" s="5">
        <f t="shared" si="20"/>
        <v>0</v>
      </c>
      <c r="Q62" s="5">
        <f t="shared" si="21"/>
        <v>0</v>
      </c>
      <c r="R62" s="5">
        <f t="shared" si="22"/>
        <v>0</v>
      </c>
      <c r="S62" s="5">
        <f t="shared" si="23"/>
        <v>0</v>
      </c>
    </row>
    <row r="63" spans="1:19" x14ac:dyDescent="0.3">
      <c r="A63" s="3" t="s">
        <v>65</v>
      </c>
      <c r="B63" s="4"/>
      <c r="C63" s="5">
        <f>0</f>
        <v>0</v>
      </c>
      <c r="D63" s="5">
        <f t="shared" si="16"/>
        <v>0</v>
      </c>
      <c r="E63" s="4"/>
      <c r="F63" s="5">
        <f>0</f>
        <v>0</v>
      </c>
      <c r="G63" s="5">
        <f t="shared" si="17"/>
        <v>0</v>
      </c>
      <c r="H63" s="4"/>
      <c r="I63" s="5">
        <f>0</f>
        <v>0</v>
      </c>
      <c r="J63" s="5">
        <f t="shared" si="18"/>
        <v>0</v>
      </c>
      <c r="K63" s="4"/>
      <c r="L63" s="5">
        <f>0</f>
        <v>0</v>
      </c>
      <c r="M63" s="5">
        <f t="shared" si="19"/>
        <v>0</v>
      </c>
      <c r="N63" s="4"/>
      <c r="O63" s="5">
        <f>0</f>
        <v>0</v>
      </c>
      <c r="P63" s="5">
        <f t="shared" si="20"/>
        <v>0</v>
      </c>
      <c r="Q63" s="5">
        <f t="shared" si="21"/>
        <v>0</v>
      </c>
      <c r="R63" s="5">
        <f t="shared" si="22"/>
        <v>0</v>
      </c>
      <c r="S63" s="5">
        <f t="shared" si="23"/>
        <v>0</v>
      </c>
    </row>
    <row r="64" spans="1:19" x14ac:dyDescent="0.3">
      <c r="A64" s="3" t="s">
        <v>66</v>
      </c>
      <c r="B64" s="4"/>
      <c r="C64" s="5">
        <f>0</f>
        <v>0</v>
      </c>
      <c r="D64" s="5">
        <f t="shared" si="16"/>
        <v>0</v>
      </c>
      <c r="E64" s="4"/>
      <c r="F64" s="5">
        <f>0</f>
        <v>0</v>
      </c>
      <c r="G64" s="5">
        <f t="shared" si="17"/>
        <v>0</v>
      </c>
      <c r="H64" s="5">
        <f>2000</f>
        <v>2000</v>
      </c>
      <c r="I64" s="5">
        <f>2000</f>
        <v>2000</v>
      </c>
      <c r="J64" s="5">
        <f t="shared" si="18"/>
        <v>0</v>
      </c>
      <c r="K64" s="4"/>
      <c r="L64" s="5">
        <f>0</f>
        <v>0</v>
      </c>
      <c r="M64" s="5">
        <f t="shared" si="19"/>
        <v>0</v>
      </c>
      <c r="N64" s="4"/>
      <c r="O64" s="5">
        <f>0</f>
        <v>0</v>
      </c>
      <c r="P64" s="5">
        <f t="shared" si="20"/>
        <v>0</v>
      </c>
      <c r="Q64" s="5">
        <f t="shared" si="21"/>
        <v>2000</v>
      </c>
      <c r="R64" s="5">
        <f t="shared" si="22"/>
        <v>2000</v>
      </c>
      <c r="S64" s="5">
        <f t="shared" si="23"/>
        <v>0</v>
      </c>
    </row>
    <row r="65" spans="1:19" x14ac:dyDescent="0.3">
      <c r="A65" s="3" t="s">
        <v>67</v>
      </c>
      <c r="B65" s="4"/>
      <c r="C65" s="5">
        <f>0</f>
        <v>0</v>
      </c>
      <c r="D65" s="5">
        <f t="shared" si="16"/>
        <v>0</v>
      </c>
      <c r="E65" s="4"/>
      <c r="F65" s="5">
        <f>0</f>
        <v>0</v>
      </c>
      <c r="G65" s="5">
        <f t="shared" si="17"/>
        <v>0</v>
      </c>
      <c r="H65" s="4"/>
      <c r="I65" s="5">
        <f>0</f>
        <v>0</v>
      </c>
      <c r="J65" s="5">
        <f t="shared" si="18"/>
        <v>0</v>
      </c>
      <c r="K65" s="4"/>
      <c r="L65" s="5">
        <f>0</f>
        <v>0</v>
      </c>
      <c r="M65" s="5">
        <f t="shared" si="19"/>
        <v>0</v>
      </c>
      <c r="N65" s="4"/>
      <c r="O65" s="5">
        <f>1000</f>
        <v>1000</v>
      </c>
      <c r="P65" s="5">
        <f t="shared" si="20"/>
        <v>-1000</v>
      </c>
      <c r="Q65" s="5">
        <f t="shared" si="21"/>
        <v>0</v>
      </c>
      <c r="R65" s="5">
        <f t="shared" si="22"/>
        <v>1000</v>
      </c>
      <c r="S65" s="5">
        <f t="shared" si="23"/>
        <v>-1000</v>
      </c>
    </row>
    <row r="66" spans="1:19" x14ac:dyDescent="0.3">
      <c r="A66" s="3" t="s">
        <v>68</v>
      </c>
      <c r="B66" s="4"/>
      <c r="C66" s="5">
        <f>0</f>
        <v>0</v>
      </c>
      <c r="D66" s="5">
        <f t="shared" si="16"/>
        <v>0</v>
      </c>
      <c r="E66" s="4"/>
      <c r="F66" s="5">
        <f>0</f>
        <v>0</v>
      </c>
      <c r="G66" s="5">
        <f t="shared" si="17"/>
        <v>0</v>
      </c>
      <c r="H66" s="4"/>
      <c r="I66" s="5">
        <f>2500</f>
        <v>2500</v>
      </c>
      <c r="J66" s="5">
        <f t="shared" si="18"/>
        <v>-2500</v>
      </c>
      <c r="K66" s="5">
        <f>2500</f>
        <v>2500</v>
      </c>
      <c r="L66" s="5">
        <f>0</f>
        <v>0</v>
      </c>
      <c r="M66" s="5">
        <f t="shared" si="19"/>
        <v>2500</v>
      </c>
      <c r="N66" s="4"/>
      <c r="O66" s="5">
        <f>0</f>
        <v>0</v>
      </c>
      <c r="P66" s="5">
        <f t="shared" si="20"/>
        <v>0</v>
      </c>
      <c r="Q66" s="5">
        <f t="shared" si="21"/>
        <v>2500</v>
      </c>
      <c r="R66" s="5">
        <f t="shared" si="22"/>
        <v>2500</v>
      </c>
      <c r="S66" s="5">
        <f t="shared" si="23"/>
        <v>0</v>
      </c>
    </row>
    <row r="67" spans="1:19" x14ac:dyDescent="0.3">
      <c r="A67" s="3" t="s">
        <v>69</v>
      </c>
      <c r="B67" s="4"/>
      <c r="C67" s="5">
        <f>0</f>
        <v>0</v>
      </c>
      <c r="D67" s="5">
        <f t="shared" si="16"/>
        <v>0</v>
      </c>
      <c r="E67" s="4"/>
      <c r="F67" s="5">
        <f>0</f>
        <v>0</v>
      </c>
      <c r="G67" s="5">
        <f t="shared" si="17"/>
        <v>0</v>
      </c>
      <c r="H67" s="4"/>
      <c r="I67" s="5">
        <f>0</f>
        <v>0</v>
      </c>
      <c r="J67" s="5">
        <f t="shared" si="18"/>
        <v>0</v>
      </c>
      <c r="K67" s="4"/>
      <c r="L67" s="5">
        <f>0</f>
        <v>0</v>
      </c>
      <c r="M67" s="5">
        <f t="shared" si="19"/>
        <v>0</v>
      </c>
      <c r="N67" s="4"/>
      <c r="O67" s="5">
        <f>0</f>
        <v>0</v>
      </c>
      <c r="P67" s="5">
        <f t="shared" si="20"/>
        <v>0</v>
      </c>
      <c r="Q67" s="5">
        <f t="shared" si="21"/>
        <v>0</v>
      </c>
      <c r="R67" s="5">
        <f t="shared" si="22"/>
        <v>0</v>
      </c>
      <c r="S67" s="5">
        <f t="shared" si="23"/>
        <v>0</v>
      </c>
    </row>
    <row r="68" spans="1:19" x14ac:dyDescent="0.3">
      <c r="A68" s="3" t="s">
        <v>70</v>
      </c>
      <c r="B68" s="4"/>
      <c r="C68" s="5">
        <f>0</f>
        <v>0</v>
      </c>
      <c r="D68" s="5">
        <f t="shared" si="16"/>
        <v>0</v>
      </c>
      <c r="E68" s="4"/>
      <c r="F68" s="5">
        <f>0</f>
        <v>0</v>
      </c>
      <c r="G68" s="5">
        <f t="shared" si="17"/>
        <v>0</v>
      </c>
      <c r="H68" s="4"/>
      <c r="I68" s="5">
        <f>0</f>
        <v>0</v>
      </c>
      <c r="J68" s="5">
        <f t="shared" si="18"/>
        <v>0</v>
      </c>
      <c r="K68" s="4"/>
      <c r="L68" s="5">
        <f>0</f>
        <v>0</v>
      </c>
      <c r="M68" s="5">
        <f t="shared" si="19"/>
        <v>0</v>
      </c>
      <c r="N68" s="4"/>
      <c r="O68" s="5">
        <f>0</f>
        <v>0</v>
      </c>
      <c r="P68" s="5">
        <f t="shared" si="20"/>
        <v>0</v>
      </c>
      <c r="Q68" s="5">
        <f t="shared" si="21"/>
        <v>0</v>
      </c>
      <c r="R68" s="5">
        <f t="shared" si="22"/>
        <v>0</v>
      </c>
      <c r="S68" s="5">
        <f t="shared" si="23"/>
        <v>0</v>
      </c>
    </row>
    <row r="69" spans="1:19" x14ac:dyDescent="0.3">
      <c r="A69" s="3" t="s">
        <v>71</v>
      </c>
      <c r="B69" s="6">
        <f>(((((((((((((((B53)+(B54))+(B55))+(B56))+(B57))+(B58))+(B59))+(B60))+(B61))+(B62))+(B63))+(B64))+(B65))+(B66))+(B67))+(B68)</f>
        <v>0</v>
      </c>
      <c r="C69" s="6">
        <f>(((((((((((((((C53)+(C54))+(C55))+(C56))+(C57))+(C58))+(C59))+(C60))+(C61))+(C62))+(C63))+(C64))+(C65))+(C66))+(C67))+(C68)</f>
        <v>0</v>
      </c>
      <c r="D69" s="6">
        <f t="shared" si="16"/>
        <v>0</v>
      </c>
      <c r="E69" s="6">
        <f>(((((((((((((((E53)+(E54))+(E55))+(E56))+(E57))+(E58))+(E59))+(E60))+(E61))+(E62))+(E63))+(E64))+(E65))+(E66))+(E67))+(E68)</f>
        <v>0</v>
      </c>
      <c r="F69" s="6">
        <f>(((((((((((((((F53)+(F54))+(F55))+(F56))+(F57))+(F58))+(F59))+(F60))+(F61))+(F62))+(F63))+(F64))+(F65))+(F66))+(F67))+(F68)</f>
        <v>0</v>
      </c>
      <c r="G69" s="6">
        <f t="shared" si="17"/>
        <v>0</v>
      </c>
      <c r="H69" s="6">
        <f>(((((((((((((((H53)+(H54))+(H55))+(H56))+(H57))+(H58))+(H59))+(H60))+(H61))+(H62))+(H63))+(H64))+(H65))+(H66))+(H67))+(H68)</f>
        <v>3500</v>
      </c>
      <c r="I69" s="6">
        <f>(((((((((((((((I53)+(I54))+(I55))+(I56))+(I57))+(I58))+(I59))+(I60))+(I61))+(I62))+(I63))+(I64))+(I65))+(I66))+(I67))+(I68)</f>
        <v>6000</v>
      </c>
      <c r="J69" s="6">
        <f t="shared" si="18"/>
        <v>-2500</v>
      </c>
      <c r="K69" s="6">
        <f>(((((((((((((((K53)+(K54))+(K55))+(K56))+(K57))+(K58))+(K59))+(K60))+(K61))+(K62))+(K63))+(K64))+(K65))+(K66))+(K67))+(K68)</f>
        <v>2500</v>
      </c>
      <c r="L69" s="6">
        <f>(((((((((((((((L53)+(L54))+(L55))+(L56))+(L57))+(L58))+(L59))+(L60))+(L61))+(L62))+(L63))+(L64))+(L65))+(L66))+(L67))+(L68)</f>
        <v>2500</v>
      </c>
      <c r="M69" s="6">
        <f t="shared" si="19"/>
        <v>0</v>
      </c>
      <c r="N69" s="6">
        <f>(((((((((((((((N53)+(N54))+(N55))+(N56))+(N57))+(N58))+(N59))+(N60))+(N61))+(N62))+(N63))+(N64))+(N65))+(N66))+(N67))+(N68)</f>
        <v>4000</v>
      </c>
      <c r="O69" s="6">
        <f>(((((((((((((((O53)+(O54))+(O55))+(O56))+(O57))+(O58))+(O59))+(O60))+(O61))+(O62))+(O63))+(O64))+(O65))+(O66))+(O67))+(O68)</f>
        <v>1000</v>
      </c>
      <c r="P69" s="6">
        <f t="shared" si="20"/>
        <v>3000</v>
      </c>
      <c r="Q69" s="6">
        <f t="shared" si="21"/>
        <v>10000</v>
      </c>
      <c r="R69" s="6">
        <f t="shared" si="22"/>
        <v>9500</v>
      </c>
      <c r="S69" s="6">
        <f t="shared" si="23"/>
        <v>500</v>
      </c>
    </row>
    <row r="70" spans="1:19" x14ac:dyDescent="0.3">
      <c r="A70" s="3" t="s">
        <v>72</v>
      </c>
      <c r="B70" s="4"/>
      <c r="C70" s="4"/>
      <c r="D70" s="5">
        <f t="shared" si="16"/>
        <v>0</v>
      </c>
      <c r="E70" s="4"/>
      <c r="F70" s="4"/>
      <c r="G70" s="5">
        <f t="shared" si="17"/>
        <v>0</v>
      </c>
      <c r="H70" s="4"/>
      <c r="I70" s="4"/>
      <c r="J70" s="5">
        <f t="shared" si="18"/>
        <v>0</v>
      </c>
      <c r="K70" s="4"/>
      <c r="L70" s="4"/>
      <c r="M70" s="5">
        <f t="shared" si="19"/>
        <v>0</v>
      </c>
      <c r="N70" s="4"/>
      <c r="O70" s="4"/>
      <c r="P70" s="5">
        <f t="shared" si="20"/>
        <v>0</v>
      </c>
      <c r="Q70" s="5">
        <f t="shared" si="21"/>
        <v>0</v>
      </c>
      <c r="R70" s="5">
        <f t="shared" si="22"/>
        <v>0</v>
      </c>
      <c r="S70" s="5">
        <f t="shared" si="23"/>
        <v>0</v>
      </c>
    </row>
    <row r="71" spans="1:19" x14ac:dyDescent="0.3">
      <c r="A71" s="3" t="s">
        <v>73</v>
      </c>
      <c r="B71" s="5">
        <f>63.98</f>
        <v>63.98</v>
      </c>
      <c r="C71" s="5">
        <f>458.33</f>
        <v>458.33</v>
      </c>
      <c r="D71" s="5">
        <f t="shared" si="16"/>
        <v>-394.34999999999997</v>
      </c>
      <c r="E71" s="5">
        <f>59.98</f>
        <v>59.98</v>
      </c>
      <c r="F71" s="5">
        <f>458.33</f>
        <v>458.33</v>
      </c>
      <c r="G71" s="5">
        <f t="shared" si="17"/>
        <v>-398.34999999999997</v>
      </c>
      <c r="H71" s="5">
        <f>698.83</f>
        <v>698.83</v>
      </c>
      <c r="I71" s="5">
        <f>458.33</f>
        <v>458.33</v>
      </c>
      <c r="J71" s="5">
        <f t="shared" si="18"/>
        <v>240.50000000000006</v>
      </c>
      <c r="K71" s="5">
        <f>158.12</f>
        <v>158.12</v>
      </c>
      <c r="L71" s="5">
        <f>458.33</f>
        <v>458.33</v>
      </c>
      <c r="M71" s="5">
        <f t="shared" si="19"/>
        <v>-300.20999999999998</v>
      </c>
      <c r="N71" s="5">
        <f>147.62</f>
        <v>147.62</v>
      </c>
      <c r="O71" s="5">
        <f>458.33</f>
        <v>458.33</v>
      </c>
      <c r="P71" s="5">
        <f t="shared" si="20"/>
        <v>-310.70999999999998</v>
      </c>
      <c r="Q71" s="5">
        <f t="shared" si="21"/>
        <v>1128.5300000000002</v>
      </c>
      <c r="R71" s="5">
        <f t="shared" si="22"/>
        <v>2291.65</v>
      </c>
      <c r="S71" s="5">
        <f t="shared" si="23"/>
        <v>-1163.1199999999999</v>
      </c>
    </row>
    <row r="72" spans="1:19" x14ac:dyDescent="0.3">
      <c r="A72" s="3" t="s">
        <v>74</v>
      </c>
      <c r="B72" s="4"/>
      <c r="C72" s="5">
        <f>0</f>
        <v>0</v>
      </c>
      <c r="D72" s="5">
        <f t="shared" si="16"/>
        <v>0</v>
      </c>
      <c r="E72" s="4"/>
      <c r="F72" s="5">
        <f>0</f>
        <v>0</v>
      </c>
      <c r="G72" s="5">
        <f t="shared" si="17"/>
        <v>0</v>
      </c>
      <c r="H72" s="5">
        <f>159.37</f>
        <v>159.37</v>
      </c>
      <c r="I72" s="5">
        <f>300</f>
        <v>300</v>
      </c>
      <c r="J72" s="5">
        <f t="shared" si="18"/>
        <v>-140.63</v>
      </c>
      <c r="K72" s="5">
        <f>108.5</f>
        <v>108.5</v>
      </c>
      <c r="L72" s="5">
        <f>0</f>
        <v>0</v>
      </c>
      <c r="M72" s="5">
        <f t="shared" si="19"/>
        <v>108.5</v>
      </c>
      <c r="N72" s="4"/>
      <c r="O72" s="5">
        <f>0</f>
        <v>0</v>
      </c>
      <c r="P72" s="5">
        <f t="shared" si="20"/>
        <v>0</v>
      </c>
      <c r="Q72" s="5">
        <f t="shared" si="21"/>
        <v>267.87</v>
      </c>
      <c r="R72" s="5">
        <f t="shared" si="22"/>
        <v>300</v>
      </c>
      <c r="S72" s="5">
        <f t="shared" si="23"/>
        <v>-32.129999999999995</v>
      </c>
    </row>
    <row r="73" spans="1:19" x14ac:dyDescent="0.3">
      <c r="A73" s="3" t="s">
        <v>75</v>
      </c>
      <c r="B73" s="4"/>
      <c r="C73" s="5">
        <f>1000</f>
        <v>1000</v>
      </c>
      <c r="D73" s="5">
        <f t="shared" si="16"/>
        <v>-1000</v>
      </c>
      <c r="E73" s="4"/>
      <c r="F73" s="5">
        <f>0</f>
        <v>0</v>
      </c>
      <c r="G73" s="5">
        <f t="shared" si="17"/>
        <v>0</v>
      </c>
      <c r="H73" s="4"/>
      <c r="I73" s="5">
        <f>0</f>
        <v>0</v>
      </c>
      <c r="J73" s="5">
        <f t="shared" si="18"/>
        <v>0</v>
      </c>
      <c r="K73" s="4"/>
      <c r="L73" s="5">
        <f>0</f>
        <v>0</v>
      </c>
      <c r="M73" s="5">
        <f t="shared" si="19"/>
        <v>0</v>
      </c>
      <c r="N73" s="4"/>
      <c r="O73" s="5">
        <f>0</f>
        <v>0</v>
      </c>
      <c r="P73" s="5">
        <f t="shared" si="20"/>
        <v>0</v>
      </c>
      <c r="Q73" s="5">
        <f t="shared" si="21"/>
        <v>0</v>
      </c>
      <c r="R73" s="5">
        <f t="shared" si="22"/>
        <v>1000</v>
      </c>
      <c r="S73" s="5">
        <f t="shared" si="23"/>
        <v>-1000</v>
      </c>
    </row>
    <row r="74" spans="1:19" x14ac:dyDescent="0.3">
      <c r="A74" s="3" t="s">
        <v>76</v>
      </c>
      <c r="B74" s="4"/>
      <c r="C74" s="5">
        <f>208.33</f>
        <v>208.33</v>
      </c>
      <c r="D74" s="5">
        <f t="shared" si="16"/>
        <v>-208.33</v>
      </c>
      <c r="E74" s="5">
        <f>67.91</f>
        <v>67.91</v>
      </c>
      <c r="F74" s="5">
        <f>208.33</f>
        <v>208.33</v>
      </c>
      <c r="G74" s="5">
        <f t="shared" si="17"/>
        <v>-140.42000000000002</v>
      </c>
      <c r="H74" s="5">
        <f>19.99</f>
        <v>19.989999999999998</v>
      </c>
      <c r="I74" s="5">
        <f>208.33</f>
        <v>208.33</v>
      </c>
      <c r="J74" s="5">
        <f t="shared" si="18"/>
        <v>-188.34</v>
      </c>
      <c r="K74" s="4"/>
      <c r="L74" s="5">
        <f>208.33</f>
        <v>208.33</v>
      </c>
      <c r="M74" s="5">
        <f t="shared" si="19"/>
        <v>-208.33</v>
      </c>
      <c r="N74" s="5">
        <f>135.32</f>
        <v>135.32</v>
      </c>
      <c r="O74" s="5">
        <f>208.33</f>
        <v>208.33</v>
      </c>
      <c r="P74" s="5">
        <f t="shared" si="20"/>
        <v>-73.010000000000019</v>
      </c>
      <c r="Q74" s="5">
        <f t="shared" si="21"/>
        <v>223.21999999999997</v>
      </c>
      <c r="R74" s="5">
        <f t="shared" si="22"/>
        <v>1041.6500000000001</v>
      </c>
      <c r="S74" s="5">
        <f t="shared" si="23"/>
        <v>-818.43000000000006</v>
      </c>
    </row>
    <row r="75" spans="1:19" x14ac:dyDescent="0.3">
      <c r="A75" s="3" t="s">
        <v>77</v>
      </c>
      <c r="B75" s="6">
        <f>((((B70)+(B71))+(B72))+(B73))+(B74)</f>
        <v>63.98</v>
      </c>
      <c r="C75" s="6">
        <f>((((C70)+(C71))+(C72))+(C73))+(C74)</f>
        <v>1666.6599999999999</v>
      </c>
      <c r="D75" s="6">
        <f t="shared" si="16"/>
        <v>-1602.6799999999998</v>
      </c>
      <c r="E75" s="6">
        <f>((((E70)+(E71))+(E72))+(E73))+(E74)</f>
        <v>127.88999999999999</v>
      </c>
      <c r="F75" s="6">
        <f>((((F70)+(F71))+(F72))+(F73))+(F74)</f>
        <v>666.66</v>
      </c>
      <c r="G75" s="6">
        <f t="shared" si="17"/>
        <v>-538.77</v>
      </c>
      <c r="H75" s="6">
        <f>((((H70)+(H71))+(H72))+(H73))+(H74)</f>
        <v>878.19</v>
      </c>
      <c r="I75" s="6">
        <f>((((I70)+(I71))+(I72))+(I73))+(I74)</f>
        <v>966.66</v>
      </c>
      <c r="J75" s="6">
        <f t="shared" si="18"/>
        <v>-88.469999999999914</v>
      </c>
      <c r="K75" s="6">
        <f>((((K70)+(K71))+(K72))+(K73))+(K74)</f>
        <v>266.62</v>
      </c>
      <c r="L75" s="6">
        <f>((((L70)+(L71))+(L72))+(L73))+(L74)</f>
        <v>666.66</v>
      </c>
      <c r="M75" s="6">
        <f t="shared" si="19"/>
        <v>-400.03999999999996</v>
      </c>
      <c r="N75" s="6">
        <f>((((N70)+(N71))+(N72))+(N73))+(N74)</f>
        <v>282.94</v>
      </c>
      <c r="O75" s="6">
        <f>((((O70)+(O71))+(O72))+(O73))+(O74)</f>
        <v>666.66</v>
      </c>
      <c r="P75" s="6">
        <f t="shared" si="20"/>
        <v>-383.71999999999997</v>
      </c>
      <c r="Q75" s="6">
        <f t="shared" si="21"/>
        <v>1619.62</v>
      </c>
      <c r="R75" s="6">
        <f t="shared" si="22"/>
        <v>4633.2999999999993</v>
      </c>
      <c r="S75" s="6">
        <f t="shared" si="23"/>
        <v>-3013.6799999999994</v>
      </c>
    </row>
    <row r="76" spans="1:19" x14ac:dyDescent="0.3">
      <c r="A76" s="3" t="s">
        <v>78</v>
      </c>
      <c r="B76" s="4"/>
      <c r="C76" s="4"/>
      <c r="D76" s="5">
        <f t="shared" si="16"/>
        <v>0</v>
      </c>
      <c r="E76" s="4"/>
      <c r="F76" s="4"/>
      <c r="G76" s="5">
        <f t="shared" si="17"/>
        <v>0</v>
      </c>
      <c r="H76" s="4"/>
      <c r="I76" s="4"/>
      <c r="J76" s="5">
        <f t="shared" si="18"/>
        <v>0</v>
      </c>
      <c r="K76" s="4"/>
      <c r="L76" s="4"/>
      <c r="M76" s="5">
        <f t="shared" si="19"/>
        <v>0</v>
      </c>
      <c r="N76" s="4"/>
      <c r="O76" s="4"/>
      <c r="P76" s="5">
        <f t="shared" si="20"/>
        <v>0</v>
      </c>
      <c r="Q76" s="5">
        <f t="shared" si="21"/>
        <v>0</v>
      </c>
      <c r="R76" s="5">
        <f t="shared" si="22"/>
        <v>0</v>
      </c>
      <c r="S76" s="5">
        <f t="shared" si="23"/>
        <v>0</v>
      </c>
    </row>
    <row r="77" spans="1:19" x14ac:dyDescent="0.3">
      <c r="A77" s="3" t="s">
        <v>79</v>
      </c>
      <c r="B77" s="4"/>
      <c r="C77" s="5">
        <f>100</f>
        <v>100</v>
      </c>
      <c r="D77" s="5">
        <f t="shared" si="16"/>
        <v>-100</v>
      </c>
      <c r="E77" s="4"/>
      <c r="F77" s="5">
        <f>100</f>
        <v>100</v>
      </c>
      <c r="G77" s="5">
        <f t="shared" si="17"/>
        <v>-100</v>
      </c>
      <c r="H77" s="4"/>
      <c r="I77" s="5">
        <f>100</f>
        <v>100</v>
      </c>
      <c r="J77" s="5">
        <f t="shared" si="18"/>
        <v>-100</v>
      </c>
      <c r="K77" s="5">
        <f>215</f>
        <v>215</v>
      </c>
      <c r="L77" s="5">
        <f>100</f>
        <v>100</v>
      </c>
      <c r="M77" s="5">
        <f t="shared" si="19"/>
        <v>115</v>
      </c>
      <c r="N77" s="4"/>
      <c r="O77" s="5">
        <f>100</f>
        <v>100</v>
      </c>
      <c r="P77" s="5">
        <f t="shared" si="20"/>
        <v>-100</v>
      </c>
      <c r="Q77" s="5">
        <f t="shared" si="21"/>
        <v>215</v>
      </c>
      <c r="R77" s="5">
        <f t="shared" si="22"/>
        <v>500</v>
      </c>
      <c r="S77" s="5">
        <f t="shared" si="23"/>
        <v>-285</v>
      </c>
    </row>
    <row r="78" spans="1:19" x14ac:dyDescent="0.3">
      <c r="A78" s="3" t="s">
        <v>80</v>
      </c>
      <c r="B78" s="5">
        <f>1</f>
        <v>1</v>
      </c>
      <c r="C78" s="5">
        <f>0</f>
        <v>0</v>
      </c>
      <c r="D78" s="5">
        <f t="shared" si="16"/>
        <v>1</v>
      </c>
      <c r="E78" s="4"/>
      <c r="F78" s="5">
        <f>0</f>
        <v>0</v>
      </c>
      <c r="G78" s="5">
        <f t="shared" si="17"/>
        <v>0</v>
      </c>
      <c r="H78" s="5">
        <f>10</f>
        <v>10</v>
      </c>
      <c r="I78" s="5">
        <f>0</f>
        <v>0</v>
      </c>
      <c r="J78" s="5">
        <f t="shared" si="18"/>
        <v>10</v>
      </c>
      <c r="K78" s="4"/>
      <c r="L78" s="5">
        <f>0</f>
        <v>0</v>
      </c>
      <c r="M78" s="5">
        <f t="shared" si="19"/>
        <v>0</v>
      </c>
      <c r="N78" s="4"/>
      <c r="O78" s="5">
        <f>0</f>
        <v>0</v>
      </c>
      <c r="P78" s="5">
        <f t="shared" si="20"/>
        <v>0</v>
      </c>
      <c r="Q78" s="5">
        <f t="shared" si="21"/>
        <v>11</v>
      </c>
      <c r="R78" s="5">
        <f t="shared" si="22"/>
        <v>0</v>
      </c>
      <c r="S78" s="5">
        <f t="shared" si="23"/>
        <v>11</v>
      </c>
    </row>
    <row r="79" spans="1:19" x14ac:dyDescent="0.3">
      <c r="A79" s="3" t="s">
        <v>81</v>
      </c>
      <c r="B79" s="4"/>
      <c r="C79" s="5">
        <f>0</f>
        <v>0</v>
      </c>
      <c r="D79" s="5">
        <f t="shared" si="16"/>
        <v>0</v>
      </c>
      <c r="E79" s="4"/>
      <c r="F79" s="5">
        <f>0</f>
        <v>0</v>
      </c>
      <c r="G79" s="5">
        <f t="shared" si="17"/>
        <v>0</v>
      </c>
      <c r="H79" s="4"/>
      <c r="I79" s="5">
        <f>0</f>
        <v>0</v>
      </c>
      <c r="J79" s="5">
        <f t="shared" si="18"/>
        <v>0</v>
      </c>
      <c r="K79" s="4"/>
      <c r="L79" s="5">
        <f>0</f>
        <v>0</v>
      </c>
      <c r="M79" s="5">
        <f t="shared" si="19"/>
        <v>0</v>
      </c>
      <c r="N79" s="4"/>
      <c r="O79" s="5">
        <f>0</f>
        <v>0</v>
      </c>
      <c r="P79" s="5">
        <f t="shared" si="20"/>
        <v>0</v>
      </c>
      <c r="Q79" s="5">
        <f t="shared" si="21"/>
        <v>0</v>
      </c>
      <c r="R79" s="5">
        <f t="shared" si="22"/>
        <v>0</v>
      </c>
      <c r="S79" s="5">
        <f t="shared" si="23"/>
        <v>0</v>
      </c>
    </row>
    <row r="80" spans="1:19" x14ac:dyDescent="0.3">
      <c r="A80" s="3" t="s">
        <v>82</v>
      </c>
      <c r="B80" s="6">
        <f>(((B76)+(B77))+(B78))+(B79)</f>
        <v>1</v>
      </c>
      <c r="C80" s="6">
        <f>(((C76)+(C77))+(C78))+(C79)</f>
        <v>100</v>
      </c>
      <c r="D80" s="6">
        <f t="shared" si="16"/>
        <v>-99</v>
      </c>
      <c r="E80" s="6">
        <f>(((E76)+(E77))+(E78))+(E79)</f>
        <v>0</v>
      </c>
      <c r="F80" s="6">
        <f>(((F76)+(F77))+(F78))+(F79)</f>
        <v>100</v>
      </c>
      <c r="G80" s="6">
        <f t="shared" si="17"/>
        <v>-100</v>
      </c>
      <c r="H80" s="6">
        <f>(((H76)+(H77))+(H78))+(H79)</f>
        <v>10</v>
      </c>
      <c r="I80" s="6">
        <f>(((I76)+(I77))+(I78))+(I79)</f>
        <v>100</v>
      </c>
      <c r="J80" s="6">
        <f t="shared" si="18"/>
        <v>-90</v>
      </c>
      <c r="K80" s="6">
        <f>(((K76)+(K77))+(K78))+(K79)</f>
        <v>215</v>
      </c>
      <c r="L80" s="6">
        <f>(((L76)+(L77))+(L78))+(L79)</f>
        <v>100</v>
      </c>
      <c r="M80" s="6">
        <f t="shared" si="19"/>
        <v>115</v>
      </c>
      <c r="N80" s="6">
        <f>(((N76)+(N77))+(N78))+(N79)</f>
        <v>0</v>
      </c>
      <c r="O80" s="6">
        <f>(((O76)+(O77))+(O78))+(O79)</f>
        <v>100</v>
      </c>
      <c r="P80" s="6">
        <f t="shared" si="20"/>
        <v>-100</v>
      </c>
      <c r="Q80" s="6">
        <f t="shared" si="21"/>
        <v>226</v>
      </c>
      <c r="R80" s="6">
        <f t="shared" si="22"/>
        <v>500</v>
      </c>
      <c r="S80" s="6">
        <f t="shared" si="23"/>
        <v>-274</v>
      </c>
    </row>
    <row r="81" spans="1:19" x14ac:dyDescent="0.3">
      <c r="A81" s="3" t="s">
        <v>83</v>
      </c>
      <c r="B81" s="4"/>
      <c r="C81" s="4"/>
      <c r="D81" s="5">
        <f t="shared" si="16"/>
        <v>0</v>
      </c>
      <c r="E81" s="4"/>
      <c r="F81" s="4"/>
      <c r="G81" s="5">
        <f t="shared" si="17"/>
        <v>0</v>
      </c>
      <c r="H81" s="4"/>
      <c r="I81" s="4"/>
      <c r="J81" s="5">
        <f t="shared" si="18"/>
        <v>0</v>
      </c>
      <c r="K81" s="4"/>
      <c r="L81" s="4"/>
      <c r="M81" s="5">
        <f t="shared" si="19"/>
        <v>0</v>
      </c>
      <c r="N81" s="4"/>
      <c r="O81" s="4"/>
      <c r="P81" s="5">
        <f t="shared" si="20"/>
        <v>0</v>
      </c>
      <c r="Q81" s="5">
        <f t="shared" si="21"/>
        <v>0</v>
      </c>
      <c r="R81" s="5">
        <f t="shared" si="22"/>
        <v>0</v>
      </c>
      <c r="S81" s="5">
        <f t="shared" si="23"/>
        <v>0</v>
      </c>
    </row>
    <row r="82" spans="1:19" x14ac:dyDescent="0.3">
      <c r="A82" s="3" t="s">
        <v>84</v>
      </c>
      <c r="B82" s="5">
        <f>3360</f>
        <v>3360</v>
      </c>
      <c r="C82" s="5">
        <f>3767.42</f>
        <v>3767.42</v>
      </c>
      <c r="D82" s="5">
        <f t="shared" si="16"/>
        <v>-407.42000000000007</v>
      </c>
      <c r="E82" s="5">
        <f>3595.24</f>
        <v>3595.24</v>
      </c>
      <c r="F82" s="5">
        <f>3767.42</f>
        <v>3767.42</v>
      </c>
      <c r="G82" s="5">
        <f t="shared" si="17"/>
        <v>-172.18000000000029</v>
      </c>
      <c r="H82" s="5">
        <f>3477.62</f>
        <v>3477.62</v>
      </c>
      <c r="I82" s="5">
        <f>3767.42</f>
        <v>3767.42</v>
      </c>
      <c r="J82" s="5">
        <f t="shared" si="18"/>
        <v>-289.80000000000018</v>
      </c>
      <c r="K82" s="5">
        <f>5216.43</f>
        <v>5216.43</v>
      </c>
      <c r="L82" s="5">
        <f>3767.42</f>
        <v>3767.42</v>
      </c>
      <c r="M82" s="5">
        <f t="shared" si="19"/>
        <v>1449.0100000000002</v>
      </c>
      <c r="N82" s="5">
        <f>3477.62</f>
        <v>3477.62</v>
      </c>
      <c r="O82" s="5">
        <f>3767.42</f>
        <v>3767.42</v>
      </c>
      <c r="P82" s="5">
        <f t="shared" si="20"/>
        <v>-289.80000000000018</v>
      </c>
      <c r="Q82" s="5">
        <f t="shared" si="21"/>
        <v>19126.91</v>
      </c>
      <c r="R82" s="5">
        <f t="shared" si="22"/>
        <v>18837.099999999999</v>
      </c>
      <c r="S82" s="5">
        <f t="shared" si="23"/>
        <v>289.81000000000131</v>
      </c>
    </row>
    <row r="83" spans="1:19" x14ac:dyDescent="0.3">
      <c r="A83" s="3" t="s">
        <v>85</v>
      </c>
      <c r="B83" s="5">
        <f>257.04</f>
        <v>257.04000000000002</v>
      </c>
      <c r="C83" s="5">
        <f>288.17</f>
        <v>288.17</v>
      </c>
      <c r="D83" s="5">
        <f t="shared" si="16"/>
        <v>-31.129999999999995</v>
      </c>
      <c r="E83" s="5">
        <f>275.04</f>
        <v>275.04000000000002</v>
      </c>
      <c r="F83" s="5">
        <f>288.17</f>
        <v>288.17</v>
      </c>
      <c r="G83" s="5">
        <f t="shared" si="17"/>
        <v>-13.129999999999995</v>
      </c>
      <c r="H83" s="5">
        <f>266.04</f>
        <v>266.04000000000002</v>
      </c>
      <c r="I83" s="5">
        <f>288.17</f>
        <v>288.17</v>
      </c>
      <c r="J83" s="5">
        <f t="shared" si="18"/>
        <v>-22.129999999999995</v>
      </c>
      <c r="K83" s="5">
        <f>399.06</f>
        <v>399.06</v>
      </c>
      <c r="L83" s="5">
        <f>288.17</f>
        <v>288.17</v>
      </c>
      <c r="M83" s="5">
        <f t="shared" si="19"/>
        <v>110.88999999999999</v>
      </c>
      <c r="N83" s="5">
        <f>266.04</f>
        <v>266.04000000000002</v>
      </c>
      <c r="O83" s="5">
        <f>288.17</f>
        <v>288.17</v>
      </c>
      <c r="P83" s="5">
        <f t="shared" si="20"/>
        <v>-22.129999999999995</v>
      </c>
      <c r="Q83" s="5">
        <f t="shared" si="21"/>
        <v>1463.22</v>
      </c>
      <c r="R83" s="5">
        <f t="shared" si="22"/>
        <v>1440.8500000000001</v>
      </c>
      <c r="S83" s="5">
        <f t="shared" si="23"/>
        <v>22.369999999999891</v>
      </c>
    </row>
    <row r="84" spans="1:19" x14ac:dyDescent="0.3">
      <c r="A84" s="3" t="s">
        <v>86</v>
      </c>
      <c r="B84" s="5">
        <f>97.94</f>
        <v>97.94</v>
      </c>
      <c r="C84" s="5">
        <f>83.33</f>
        <v>83.33</v>
      </c>
      <c r="D84" s="5">
        <f t="shared" si="16"/>
        <v>14.61</v>
      </c>
      <c r="E84" s="5">
        <f>97.94</f>
        <v>97.94</v>
      </c>
      <c r="F84" s="5">
        <f>83.33</f>
        <v>83.33</v>
      </c>
      <c r="G84" s="5">
        <f t="shared" si="17"/>
        <v>14.61</v>
      </c>
      <c r="H84" s="5">
        <f>97.94</f>
        <v>97.94</v>
      </c>
      <c r="I84" s="5">
        <f>83.33</f>
        <v>83.33</v>
      </c>
      <c r="J84" s="5">
        <f t="shared" si="18"/>
        <v>14.61</v>
      </c>
      <c r="K84" s="5">
        <f>97.94</f>
        <v>97.94</v>
      </c>
      <c r="L84" s="5">
        <f>83.33</f>
        <v>83.33</v>
      </c>
      <c r="M84" s="5">
        <f t="shared" si="19"/>
        <v>14.61</v>
      </c>
      <c r="N84" s="5">
        <f>97.94</f>
        <v>97.94</v>
      </c>
      <c r="O84" s="5">
        <f>83.33</f>
        <v>83.33</v>
      </c>
      <c r="P84" s="5">
        <f t="shared" si="20"/>
        <v>14.61</v>
      </c>
      <c r="Q84" s="5">
        <f t="shared" si="21"/>
        <v>489.7</v>
      </c>
      <c r="R84" s="5">
        <f t="shared" si="22"/>
        <v>416.65</v>
      </c>
      <c r="S84" s="5">
        <f t="shared" si="23"/>
        <v>73.050000000000011</v>
      </c>
    </row>
    <row r="85" spans="1:19" x14ac:dyDescent="0.3">
      <c r="A85" s="3" t="s">
        <v>87</v>
      </c>
      <c r="B85" s="5">
        <f>247.8</f>
        <v>247.8</v>
      </c>
      <c r="C85" s="5">
        <f>258.33</f>
        <v>258.33</v>
      </c>
      <c r="D85" s="5">
        <f t="shared" si="16"/>
        <v>-10.529999999999973</v>
      </c>
      <c r="E85" s="5">
        <f>60.78</f>
        <v>60.78</v>
      </c>
      <c r="F85" s="5">
        <f>258.33</f>
        <v>258.33</v>
      </c>
      <c r="G85" s="5">
        <f t="shared" si="17"/>
        <v>-197.54999999999998</v>
      </c>
      <c r="H85" s="5">
        <f>30.61</f>
        <v>30.61</v>
      </c>
      <c r="I85" s="5">
        <f>258.33</f>
        <v>258.33</v>
      </c>
      <c r="J85" s="5">
        <f t="shared" si="18"/>
        <v>-227.71999999999997</v>
      </c>
      <c r="K85" s="5">
        <f>805.47</f>
        <v>805.47</v>
      </c>
      <c r="L85" s="5">
        <f>258.33</f>
        <v>258.33</v>
      </c>
      <c r="M85" s="5">
        <f t="shared" si="19"/>
        <v>547.1400000000001</v>
      </c>
      <c r="N85" s="5">
        <f>345.07</f>
        <v>345.07</v>
      </c>
      <c r="O85" s="5">
        <f>258.33</f>
        <v>258.33</v>
      </c>
      <c r="P85" s="5">
        <f t="shared" si="20"/>
        <v>86.740000000000009</v>
      </c>
      <c r="Q85" s="5">
        <f t="shared" si="21"/>
        <v>1489.73</v>
      </c>
      <c r="R85" s="5">
        <f t="shared" si="22"/>
        <v>1291.6499999999999</v>
      </c>
      <c r="S85" s="5">
        <f t="shared" si="23"/>
        <v>198.08000000000015</v>
      </c>
    </row>
    <row r="86" spans="1:19" x14ac:dyDescent="0.3">
      <c r="A86" s="3" t="s">
        <v>88</v>
      </c>
      <c r="B86" s="5">
        <f>36.97</f>
        <v>36.97</v>
      </c>
      <c r="C86" s="5">
        <f>116.67</f>
        <v>116.67</v>
      </c>
      <c r="D86" s="5">
        <f t="shared" si="16"/>
        <v>-79.7</v>
      </c>
      <c r="E86" s="5">
        <f>32.33</f>
        <v>32.33</v>
      </c>
      <c r="F86" s="5">
        <f>116.67</f>
        <v>116.67</v>
      </c>
      <c r="G86" s="5">
        <f t="shared" si="17"/>
        <v>-84.34</v>
      </c>
      <c r="H86" s="5">
        <f>9.54</f>
        <v>9.5399999999999991</v>
      </c>
      <c r="I86" s="5">
        <f>116.67</f>
        <v>116.67</v>
      </c>
      <c r="J86" s="5">
        <f t="shared" si="18"/>
        <v>-107.13</v>
      </c>
      <c r="K86" s="4"/>
      <c r="L86" s="5">
        <f>116.67</f>
        <v>116.67</v>
      </c>
      <c r="M86" s="5">
        <f t="shared" si="19"/>
        <v>-116.67</v>
      </c>
      <c r="N86" s="5">
        <f>319.92</f>
        <v>319.92</v>
      </c>
      <c r="O86" s="5">
        <f>116.67</f>
        <v>116.67</v>
      </c>
      <c r="P86" s="5">
        <f t="shared" si="20"/>
        <v>203.25</v>
      </c>
      <c r="Q86" s="5">
        <f t="shared" si="21"/>
        <v>398.76</v>
      </c>
      <c r="R86" s="5">
        <f t="shared" si="22"/>
        <v>583.35</v>
      </c>
      <c r="S86" s="5">
        <f t="shared" si="23"/>
        <v>-184.59000000000003</v>
      </c>
    </row>
    <row r="87" spans="1:19" x14ac:dyDescent="0.3">
      <c r="A87" s="3" t="s">
        <v>89</v>
      </c>
      <c r="B87" s="4"/>
      <c r="C87" s="4"/>
      <c r="D87" s="5">
        <f t="shared" si="16"/>
        <v>0</v>
      </c>
      <c r="E87" s="4"/>
      <c r="F87" s="4"/>
      <c r="G87" s="5">
        <f t="shared" si="17"/>
        <v>0</v>
      </c>
      <c r="H87" s="4"/>
      <c r="I87" s="4"/>
      <c r="J87" s="5">
        <f t="shared" si="18"/>
        <v>0</v>
      </c>
      <c r="K87" s="4"/>
      <c r="L87" s="4"/>
      <c r="M87" s="5">
        <f t="shared" si="19"/>
        <v>0</v>
      </c>
      <c r="N87" s="4"/>
      <c r="O87" s="4"/>
      <c r="P87" s="5">
        <f t="shared" si="20"/>
        <v>0</v>
      </c>
      <c r="Q87" s="5">
        <f t="shared" si="21"/>
        <v>0</v>
      </c>
      <c r="R87" s="5">
        <f t="shared" si="22"/>
        <v>0</v>
      </c>
      <c r="S87" s="5">
        <f t="shared" si="23"/>
        <v>0</v>
      </c>
    </row>
    <row r="88" spans="1:19" x14ac:dyDescent="0.3">
      <c r="A88" s="3" t="s">
        <v>90</v>
      </c>
      <c r="B88" s="4"/>
      <c r="C88" s="5">
        <f>166.67</f>
        <v>166.67</v>
      </c>
      <c r="D88" s="5">
        <f t="shared" si="16"/>
        <v>-166.67</v>
      </c>
      <c r="E88" s="4"/>
      <c r="F88" s="5">
        <f>166.67</f>
        <v>166.67</v>
      </c>
      <c r="G88" s="5">
        <f t="shared" si="17"/>
        <v>-166.67</v>
      </c>
      <c r="H88" s="5">
        <f>223.24</f>
        <v>223.24</v>
      </c>
      <c r="I88" s="5">
        <f>166.67</f>
        <v>166.67</v>
      </c>
      <c r="J88" s="5">
        <f t="shared" si="18"/>
        <v>56.570000000000022</v>
      </c>
      <c r="K88" s="4"/>
      <c r="L88" s="5">
        <f>166.67</f>
        <v>166.67</v>
      </c>
      <c r="M88" s="5">
        <f t="shared" si="19"/>
        <v>-166.67</v>
      </c>
      <c r="N88" s="4"/>
      <c r="O88" s="5">
        <f>166.67</f>
        <v>166.67</v>
      </c>
      <c r="P88" s="5">
        <f t="shared" si="20"/>
        <v>-166.67</v>
      </c>
      <c r="Q88" s="5">
        <f t="shared" si="21"/>
        <v>223.24</v>
      </c>
      <c r="R88" s="5">
        <f t="shared" si="22"/>
        <v>833.34999999999991</v>
      </c>
      <c r="S88" s="5">
        <f t="shared" si="23"/>
        <v>-610.1099999999999</v>
      </c>
    </row>
    <row r="89" spans="1:19" x14ac:dyDescent="0.3">
      <c r="A89" s="3" t="s">
        <v>91</v>
      </c>
      <c r="B89" s="4"/>
      <c r="C89" s="5">
        <f>166.67</f>
        <v>166.67</v>
      </c>
      <c r="D89" s="5">
        <f t="shared" si="16"/>
        <v>-166.67</v>
      </c>
      <c r="E89" s="4"/>
      <c r="F89" s="5">
        <f>166.67</f>
        <v>166.67</v>
      </c>
      <c r="G89" s="5">
        <f t="shared" si="17"/>
        <v>-166.67</v>
      </c>
      <c r="H89" s="4"/>
      <c r="I89" s="5">
        <f>166.67</f>
        <v>166.67</v>
      </c>
      <c r="J89" s="5">
        <f t="shared" si="18"/>
        <v>-166.67</v>
      </c>
      <c r="K89" s="5">
        <f>496.99</f>
        <v>496.99</v>
      </c>
      <c r="L89" s="5">
        <f>166.67</f>
        <v>166.67</v>
      </c>
      <c r="M89" s="5">
        <f t="shared" si="19"/>
        <v>330.32000000000005</v>
      </c>
      <c r="N89" s="4"/>
      <c r="O89" s="5">
        <f>166.67</f>
        <v>166.67</v>
      </c>
      <c r="P89" s="5">
        <f t="shared" si="20"/>
        <v>-166.67</v>
      </c>
      <c r="Q89" s="5">
        <f t="shared" si="21"/>
        <v>496.99</v>
      </c>
      <c r="R89" s="5">
        <f t="shared" si="22"/>
        <v>833.34999999999991</v>
      </c>
      <c r="S89" s="5">
        <f t="shared" si="23"/>
        <v>-336.3599999999999</v>
      </c>
    </row>
    <row r="90" spans="1:19" x14ac:dyDescent="0.3">
      <c r="A90" s="3" t="s">
        <v>92</v>
      </c>
      <c r="B90" s="4"/>
      <c r="C90" s="5">
        <f>0</f>
        <v>0</v>
      </c>
      <c r="D90" s="5">
        <f t="shared" ref="D90:D121" si="24">(B90)-(C90)</f>
        <v>0</v>
      </c>
      <c r="E90" s="4"/>
      <c r="F90" s="5">
        <f>0</f>
        <v>0</v>
      </c>
      <c r="G90" s="5">
        <f t="shared" ref="G90:G121" si="25">(E90)-(F90)</f>
        <v>0</v>
      </c>
      <c r="H90" s="4"/>
      <c r="I90" s="5">
        <f>0</f>
        <v>0</v>
      </c>
      <c r="J90" s="5">
        <f t="shared" ref="J90:J121" si="26">(H90)-(I90)</f>
        <v>0</v>
      </c>
      <c r="K90" s="4"/>
      <c r="L90" s="5">
        <f>0</f>
        <v>0</v>
      </c>
      <c r="M90" s="5">
        <f t="shared" ref="M90:M121" si="27">(K90)-(L90)</f>
        <v>0</v>
      </c>
      <c r="N90" s="4"/>
      <c r="O90" s="5">
        <f>0</f>
        <v>0</v>
      </c>
      <c r="P90" s="5">
        <f t="shared" ref="P90:P121" si="28">(N90)-(O90)</f>
        <v>0</v>
      </c>
      <c r="Q90" s="5">
        <f t="shared" ref="Q90:Q121" si="29">((((B90)+(E90))+(H90))+(K90))+(N90)</f>
        <v>0</v>
      </c>
      <c r="R90" s="5">
        <f t="shared" ref="R90:R121" si="30">((((C90)+(F90))+(I90))+(L90))+(O90)</f>
        <v>0</v>
      </c>
      <c r="S90" s="5">
        <f t="shared" ref="S90:S121" si="31">(Q90)-(R90)</f>
        <v>0</v>
      </c>
    </row>
    <row r="91" spans="1:19" x14ac:dyDescent="0.3">
      <c r="A91" s="3" t="s">
        <v>93</v>
      </c>
      <c r="B91" s="6">
        <f>(((B87)+(B88))+(B89))+(B90)</f>
        <v>0</v>
      </c>
      <c r="C91" s="6">
        <f>(((C87)+(C88))+(C89))+(C90)</f>
        <v>333.34</v>
      </c>
      <c r="D91" s="6">
        <f t="shared" si="24"/>
        <v>-333.34</v>
      </c>
      <c r="E91" s="6">
        <f>(((E87)+(E88))+(E89))+(E90)</f>
        <v>0</v>
      </c>
      <c r="F91" s="6">
        <f>(((F87)+(F88))+(F89))+(F90)</f>
        <v>333.34</v>
      </c>
      <c r="G91" s="6">
        <f t="shared" si="25"/>
        <v>-333.34</v>
      </c>
      <c r="H91" s="6">
        <f>(((H87)+(H88))+(H89))+(H90)</f>
        <v>223.24</v>
      </c>
      <c r="I91" s="6">
        <f>(((I87)+(I88))+(I89))+(I90)</f>
        <v>333.34</v>
      </c>
      <c r="J91" s="6">
        <f t="shared" si="26"/>
        <v>-110.09999999999997</v>
      </c>
      <c r="K91" s="6">
        <f>(((K87)+(K88))+(K89))+(K90)</f>
        <v>496.99</v>
      </c>
      <c r="L91" s="6">
        <f>(((L87)+(L88))+(L89))+(L90)</f>
        <v>333.34</v>
      </c>
      <c r="M91" s="6">
        <f t="shared" si="27"/>
        <v>163.65000000000003</v>
      </c>
      <c r="N91" s="6">
        <f>(((N87)+(N88))+(N89))+(N90)</f>
        <v>0</v>
      </c>
      <c r="O91" s="6">
        <f>(((O87)+(O88))+(O89))+(O90)</f>
        <v>333.34</v>
      </c>
      <c r="P91" s="6">
        <f t="shared" si="28"/>
        <v>-333.34</v>
      </c>
      <c r="Q91" s="6">
        <f t="shared" si="29"/>
        <v>720.23</v>
      </c>
      <c r="R91" s="6">
        <f t="shared" si="30"/>
        <v>1666.6999999999998</v>
      </c>
      <c r="S91" s="6">
        <f t="shared" si="31"/>
        <v>-946.4699999999998</v>
      </c>
    </row>
    <row r="92" spans="1:19" x14ac:dyDescent="0.3">
      <c r="A92" s="3" t="s">
        <v>94</v>
      </c>
      <c r="B92" s="5">
        <f>477.17</f>
        <v>477.17</v>
      </c>
      <c r="C92" s="5">
        <f>470.83</f>
        <v>470.83</v>
      </c>
      <c r="D92" s="5">
        <f t="shared" si="24"/>
        <v>6.3400000000000318</v>
      </c>
      <c r="E92" s="5">
        <f>477.52</f>
        <v>477.52</v>
      </c>
      <c r="F92" s="5">
        <f>470.83</f>
        <v>470.83</v>
      </c>
      <c r="G92" s="5">
        <f t="shared" si="25"/>
        <v>6.6899999999999977</v>
      </c>
      <c r="H92" s="5">
        <f>477.52</f>
        <v>477.52</v>
      </c>
      <c r="I92" s="5">
        <f>470.83</f>
        <v>470.83</v>
      </c>
      <c r="J92" s="5">
        <f t="shared" si="26"/>
        <v>6.6899999999999977</v>
      </c>
      <c r="K92" s="5">
        <f>477.64</f>
        <v>477.64</v>
      </c>
      <c r="L92" s="5">
        <f>470.83</f>
        <v>470.83</v>
      </c>
      <c r="M92" s="5">
        <f t="shared" si="27"/>
        <v>6.8100000000000023</v>
      </c>
      <c r="N92" s="5">
        <f>309.68</f>
        <v>309.68</v>
      </c>
      <c r="O92" s="5">
        <f>470.83</f>
        <v>470.83</v>
      </c>
      <c r="P92" s="5">
        <f t="shared" si="28"/>
        <v>-161.14999999999998</v>
      </c>
      <c r="Q92" s="5">
        <f t="shared" si="29"/>
        <v>2219.5299999999997</v>
      </c>
      <c r="R92" s="5">
        <f t="shared" si="30"/>
        <v>2354.15</v>
      </c>
      <c r="S92" s="5">
        <f t="shared" si="31"/>
        <v>-134.62000000000035</v>
      </c>
    </row>
    <row r="93" spans="1:19" x14ac:dyDescent="0.3">
      <c r="A93" s="3" t="s">
        <v>95</v>
      </c>
      <c r="B93" s="4"/>
      <c r="C93" s="5">
        <f>83.33</f>
        <v>83.33</v>
      </c>
      <c r="D93" s="5">
        <f t="shared" si="24"/>
        <v>-83.33</v>
      </c>
      <c r="E93" s="4"/>
      <c r="F93" s="5">
        <f>83.33</f>
        <v>83.33</v>
      </c>
      <c r="G93" s="5">
        <f t="shared" si="25"/>
        <v>-83.33</v>
      </c>
      <c r="H93" s="4"/>
      <c r="I93" s="5">
        <f>83.33</f>
        <v>83.33</v>
      </c>
      <c r="J93" s="5">
        <f t="shared" si="26"/>
        <v>-83.33</v>
      </c>
      <c r="K93" s="4"/>
      <c r="L93" s="5">
        <f>83.33</f>
        <v>83.33</v>
      </c>
      <c r="M93" s="5">
        <f t="shared" si="27"/>
        <v>-83.33</v>
      </c>
      <c r="N93" s="5">
        <f>1095.71</f>
        <v>1095.71</v>
      </c>
      <c r="O93" s="5">
        <f>83.33</f>
        <v>83.33</v>
      </c>
      <c r="P93" s="5">
        <f t="shared" si="28"/>
        <v>1012.38</v>
      </c>
      <c r="Q93" s="5">
        <f t="shared" si="29"/>
        <v>1095.71</v>
      </c>
      <c r="R93" s="5">
        <f t="shared" si="30"/>
        <v>416.65</v>
      </c>
      <c r="S93" s="5">
        <f t="shared" si="31"/>
        <v>679.06000000000006</v>
      </c>
    </row>
    <row r="94" spans="1:19" x14ac:dyDescent="0.3">
      <c r="A94" s="3" t="s">
        <v>96</v>
      </c>
      <c r="B94" s="6">
        <f>((((((((B81)+(B82))+(B83))+(B84))+(B85))+(B86))+(B91))+(B92))+(B93)</f>
        <v>4476.92</v>
      </c>
      <c r="C94" s="6">
        <f>((((((((C81)+(C82))+(C83))+(C84))+(C85))+(C86))+(C91))+(C92))+(C93)</f>
        <v>5401.42</v>
      </c>
      <c r="D94" s="6">
        <f t="shared" si="24"/>
        <v>-924.5</v>
      </c>
      <c r="E94" s="6">
        <f>((((((((E81)+(E82))+(E83))+(E84))+(E85))+(E86))+(E91))+(E92))+(E93)</f>
        <v>4538.8500000000004</v>
      </c>
      <c r="F94" s="6">
        <f>((((((((F81)+(F82))+(F83))+(F84))+(F85))+(F86))+(F91))+(F92))+(F93)</f>
        <v>5401.42</v>
      </c>
      <c r="G94" s="6">
        <f t="shared" si="25"/>
        <v>-862.56999999999971</v>
      </c>
      <c r="H94" s="6">
        <f>((((((((H81)+(H82))+(H83))+(H84))+(H85))+(H86))+(H91))+(H92))+(H93)</f>
        <v>4582.51</v>
      </c>
      <c r="I94" s="6">
        <f>((((((((I81)+(I82))+(I83))+(I84))+(I85))+(I86))+(I91))+(I92))+(I93)</f>
        <v>5401.42</v>
      </c>
      <c r="J94" s="6">
        <f t="shared" si="26"/>
        <v>-818.90999999999985</v>
      </c>
      <c r="K94" s="6">
        <f>((((((((K81)+(K82))+(K83))+(K84))+(K85))+(K86))+(K91))+(K92))+(K93)</f>
        <v>7493.5300000000007</v>
      </c>
      <c r="L94" s="6">
        <f>((((((((L81)+(L82))+(L83))+(L84))+(L85))+(L86))+(L91))+(L92))+(L93)</f>
        <v>5401.42</v>
      </c>
      <c r="M94" s="6">
        <f t="shared" si="27"/>
        <v>2092.1100000000006</v>
      </c>
      <c r="N94" s="6">
        <f>((((((((N81)+(N82))+(N83))+(N84))+(N85))+(N86))+(N91))+(N92))+(N93)</f>
        <v>5911.9800000000005</v>
      </c>
      <c r="O94" s="6">
        <f>((((((((O81)+(O82))+(O83))+(O84))+(O85))+(O86))+(O91))+(O92))+(O93)</f>
        <v>5401.42</v>
      </c>
      <c r="P94" s="6">
        <f t="shared" si="28"/>
        <v>510.5600000000004</v>
      </c>
      <c r="Q94" s="6">
        <f t="shared" si="29"/>
        <v>27003.79</v>
      </c>
      <c r="R94" s="6">
        <f t="shared" si="30"/>
        <v>27007.1</v>
      </c>
      <c r="S94" s="6">
        <f t="shared" si="31"/>
        <v>-3.3099999999976717</v>
      </c>
    </row>
    <row r="95" spans="1:19" x14ac:dyDescent="0.3">
      <c r="A95" s="3" t="s">
        <v>97</v>
      </c>
      <c r="B95" s="4"/>
      <c r="C95" s="4"/>
      <c r="D95" s="5">
        <f t="shared" si="24"/>
        <v>0</v>
      </c>
      <c r="E95" s="4"/>
      <c r="F95" s="4"/>
      <c r="G95" s="5">
        <f t="shared" si="25"/>
        <v>0</v>
      </c>
      <c r="H95" s="4"/>
      <c r="I95" s="4"/>
      <c r="J95" s="5">
        <f t="shared" si="26"/>
        <v>0</v>
      </c>
      <c r="K95" s="4"/>
      <c r="L95" s="4"/>
      <c r="M95" s="5">
        <f t="shared" si="27"/>
        <v>0</v>
      </c>
      <c r="N95" s="4"/>
      <c r="O95" s="4"/>
      <c r="P95" s="5">
        <f t="shared" si="28"/>
        <v>0</v>
      </c>
      <c r="Q95" s="5">
        <f t="shared" si="29"/>
        <v>0</v>
      </c>
      <c r="R95" s="5">
        <f t="shared" si="30"/>
        <v>0</v>
      </c>
      <c r="S95" s="5">
        <f t="shared" si="31"/>
        <v>0</v>
      </c>
    </row>
    <row r="96" spans="1:19" x14ac:dyDescent="0.3">
      <c r="A96" s="3" t="s">
        <v>98</v>
      </c>
      <c r="B96" s="5">
        <f>2354.16</f>
        <v>2354.16</v>
      </c>
      <c r="C96" s="5">
        <f>2550.33</f>
        <v>2550.33</v>
      </c>
      <c r="D96" s="5">
        <f t="shared" si="24"/>
        <v>-196.17000000000007</v>
      </c>
      <c r="E96" s="5">
        <f>1324.16</f>
        <v>1324.16</v>
      </c>
      <c r="F96" s="5">
        <f>2550.33</f>
        <v>2550.33</v>
      </c>
      <c r="G96" s="5">
        <f t="shared" si="25"/>
        <v>-1226.1699999999998</v>
      </c>
      <c r="H96" s="4"/>
      <c r="I96" s="5">
        <f>2550.33</f>
        <v>2550.33</v>
      </c>
      <c r="J96" s="5">
        <f t="shared" si="26"/>
        <v>-2550.33</v>
      </c>
      <c r="K96" s="4"/>
      <c r="L96" s="5">
        <f>2550.33</f>
        <v>2550.33</v>
      </c>
      <c r="M96" s="5">
        <f t="shared" si="27"/>
        <v>-2550.33</v>
      </c>
      <c r="N96" s="4"/>
      <c r="O96" s="5">
        <f>2550.33</f>
        <v>2550.33</v>
      </c>
      <c r="P96" s="5">
        <f t="shared" si="28"/>
        <v>-2550.33</v>
      </c>
      <c r="Q96" s="5">
        <f t="shared" si="29"/>
        <v>3678.3199999999997</v>
      </c>
      <c r="R96" s="5">
        <f t="shared" si="30"/>
        <v>12751.65</v>
      </c>
      <c r="S96" s="5">
        <f t="shared" si="31"/>
        <v>-9073.33</v>
      </c>
    </row>
    <row r="97" spans="1:19" x14ac:dyDescent="0.3">
      <c r="A97" s="3" t="s">
        <v>99</v>
      </c>
      <c r="B97" s="5">
        <f>161.35</f>
        <v>161.35</v>
      </c>
      <c r="C97" s="5">
        <f>195.08</f>
        <v>195.08</v>
      </c>
      <c r="D97" s="5">
        <f t="shared" si="24"/>
        <v>-33.730000000000018</v>
      </c>
      <c r="E97" s="5">
        <f>84.07</f>
        <v>84.07</v>
      </c>
      <c r="F97" s="5">
        <f>195.08</f>
        <v>195.08</v>
      </c>
      <c r="G97" s="5">
        <f t="shared" si="25"/>
        <v>-111.01000000000002</v>
      </c>
      <c r="H97" s="4"/>
      <c r="I97" s="5">
        <f>195.08</f>
        <v>195.08</v>
      </c>
      <c r="J97" s="5">
        <f t="shared" si="26"/>
        <v>-195.08</v>
      </c>
      <c r="K97" s="4"/>
      <c r="L97" s="5">
        <f>195.08</f>
        <v>195.08</v>
      </c>
      <c r="M97" s="5">
        <f t="shared" si="27"/>
        <v>-195.08</v>
      </c>
      <c r="N97" s="4"/>
      <c r="O97" s="5">
        <f>195.08</f>
        <v>195.08</v>
      </c>
      <c r="P97" s="5">
        <f t="shared" si="28"/>
        <v>-195.08</v>
      </c>
      <c r="Q97" s="5">
        <f t="shared" si="29"/>
        <v>245.42</v>
      </c>
      <c r="R97" s="5">
        <f t="shared" si="30"/>
        <v>975.40000000000009</v>
      </c>
      <c r="S97" s="5">
        <f t="shared" si="31"/>
        <v>-729.98000000000013</v>
      </c>
    </row>
    <row r="98" spans="1:19" x14ac:dyDescent="0.3">
      <c r="A98" s="3" t="s">
        <v>100</v>
      </c>
      <c r="B98" s="5">
        <f>1197.05</f>
        <v>1197.05</v>
      </c>
      <c r="C98" s="5">
        <f>525</f>
        <v>525</v>
      </c>
      <c r="D98" s="5">
        <f t="shared" si="24"/>
        <v>672.05</v>
      </c>
      <c r="E98" s="5">
        <f>-127.81</f>
        <v>-127.81</v>
      </c>
      <c r="F98" s="5">
        <f>525</f>
        <v>525</v>
      </c>
      <c r="G98" s="5">
        <f t="shared" si="25"/>
        <v>-652.80999999999995</v>
      </c>
      <c r="H98" s="5">
        <f>35.26</f>
        <v>35.26</v>
      </c>
      <c r="I98" s="5">
        <f>525</f>
        <v>525</v>
      </c>
      <c r="J98" s="5">
        <f t="shared" si="26"/>
        <v>-489.74</v>
      </c>
      <c r="K98" s="5">
        <f>-35.26</f>
        <v>-35.26</v>
      </c>
      <c r="L98" s="5">
        <f>525</f>
        <v>525</v>
      </c>
      <c r="M98" s="5">
        <f t="shared" si="27"/>
        <v>-560.26</v>
      </c>
      <c r="N98" s="4"/>
      <c r="O98" s="5">
        <f>525</f>
        <v>525</v>
      </c>
      <c r="P98" s="5">
        <f t="shared" si="28"/>
        <v>-525</v>
      </c>
      <c r="Q98" s="5">
        <f t="shared" si="29"/>
        <v>1069.24</v>
      </c>
      <c r="R98" s="5">
        <f t="shared" si="30"/>
        <v>2625</v>
      </c>
      <c r="S98" s="5">
        <f t="shared" si="31"/>
        <v>-1555.76</v>
      </c>
    </row>
    <row r="99" spans="1:19" x14ac:dyDescent="0.3">
      <c r="A99" s="3" t="s">
        <v>101</v>
      </c>
      <c r="B99" s="4"/>
      <c r="C99" s="4"/>
      <c r="D99" s="5">
        <f t="shared" si="24"/>
        <v>0</v>
      </c>
      <c r="E99" s="5">
        <f>883.75</f>
        <v>883.75</v>
      </c>
      <c r="F99" s="4"/>
      <c r="G99" s="5">
        <f t="shared" si="25"/>
        <v>883.75</v>
      </c>
      <c r="H99" s="5">
        <f>1750</f>
        <v>1750</v>
      </c>
      <c r="I99" s="4"/>
      <c r="J99" s="5">
        <f t="shared" si="26"/>
        <v>1750</v>
      </c>
      <c r="K99" s="5">
        <f>2625</f>
        <v>2625</v>
      </c>
      <c r="L99" s="4"/>
      <c r="M99" s="5">
        <f t="shared" si="27"/>
        <v>2625</v>
      </c>
      <c r="N99" s="5">
        <f>1750</f>
        <v>1750</v>
      </c>
      <c r="O99" s="4"/>
      <c r="P99" s="5">
        <f t="shared" si="28"/>
        <v>1750</v>
      </c>
      <c r="Q99" s="5">
        <f t="shared" si="29"/>
        <v>7008.75</v>
      </c>
      <c r="R99" s="5">
        <f t="shared" si="30"/>
        <v>0</v>
      </c>
      <c r="S99" s="5">
        <f t="shared" si="31"/>
        <v>7008.75</v>
      </c>
    </row>
    <row r="100" spans="1:19" x14ac:dyDescent="0.3">
      <c r="A100" s="3" t="s">
        <v>102</v>
      </c>
      <c r="B100" s="4"/>
      <c r="C100" s="4"/>
      <c r="D100" s="5">
        <f t="shared" si="24"/>
        <v>0</v>
      </c>
      <c r="E100" s="5">
        <f>67.6</f>
        <v>67.599999999999994</v>
      </c>
      <c r="F100" s="4"/>
      <c r="G100" s="5">
        <f t="shared" si="25"/>
        <v>67.599999999999994</v>
      </c>
      <c r="H100" s="5">
        <f>133.88</f>
        <v>133.88</v>
      </c>
      <c r="I100" s="4"/>
      <c r="J100" s="5">
        <f t="shared" si="26"/>
        <v>133.88</v>
      </c>
      <c r="K100" s="5">
        <f>200.82</f>
        <v>200.82</v>
      </c>
      <c r="L100" s="4"/>
      <c r="M100" s="5">
        <f t="shared" si="27"/>
        <v>200.82</v>
      </c>
      <c r="N100" s="5">
        <f>133.88</f>
        <v>133.88</v>
      </c>
      <c r="O100" s="4"/>
      <c r="P100" s="5">
        <f t="shared" si="28"/>
        <v>133.88</v>
      </c>
      <c r="Q100" s="5">
        <f t="shared" si="29"/>
        <v>536.17999999999995</v>
      </c>
      <c r="R100" s="5">
        <f t="shared" si="30"/>
        <v>0</v>
      </c>
      <c r="S100" s="5">
        <f t="shared" si="31"/>
        <v>536.17999999999995</v>
      </c>
    </row>
    <row r="101" spans="1:19" x14ac:dyDescent="0.3">
      <c r="A101" s="3" t="s">
        <v>103</v>
      </c>
      <c r="B101" s="4"/>
      <c r="C101" s="4"/>
      <c r="D101" s="5">
        <f t="shared" si="24"/>
        <v>0</v>
      </c>
      <c r="E101" s="5">
        <f>74.38</f>
        <v>74.38</v>
      </c>
      <c r="F101" s="4"/>
      <c r="G101" s="5">
        <f t="shared" si="25"/>
        <v>74.38</v>
      </c>
      <c r="H101" s="5">
        <f>345.63</f>
        <v>345.63</v>
      </c>
      <c r="I101" s="4"/>
      <c r="J101" s="5">
        <f t="shared" si="26"/>
        <v>345.63</v>
      </c>
      <c r="K101" s="5">
        <f>538.13</f>
        <v>538.13</v>
      </c>
      <c r="L101" s="4"/>
      <c r="M101" s="5">
        <f t="shared" si="27"/>
        <v>538.13</v>
      </c>
      <c r="N101" s="5">
        <f>350</f>
        <v>350</v>
      </c>
      <c r="O101" s="4"/>
      <c r="P101" s="5">
        <f t="shared" si="28"/>
        <v>350</v>
      </c>
      <c r="Q101" s="5">
        <f t="shared" si="29"/>
        <v>1308.1399999999999</v>
      </c>
      <c r="R101" s="5">
        <f t="shared" si="30"/>
        <v>0</v>
      </c>
      <c r="S101" s="5">
        <f t="shared" si="31"/>
        <v>1308.1399999999999</v>
      </c>
    </row>
    <row r="102" spans="1:19" x14ac:dyDescent="0.3">
      <c r="A102" s="3" t="s">
        <v>104</v>
      </c>
      <c r="B102" s="4"/>
      <c r="C102" s="4"/>
      <c r="D102" s="5">
        <f t="shared" si="24"/>
        <v>0</v>
      </c>
      <c r="E102" s="5">
        <f>5.69</f>
        <v>5.69</v>
      </c>
      <c r="F102" s="4"/>
      <c r="G102" s="5">
        <f t="shared" si="25"/>
        <v>5.69</v>
      </c>
      <c r="H102" s="5">
        <f>26.44</f>
        <v>26.44</v>
      </c>
      <c r="I102" s="4"/>
      <c r="J102" s="5">
        <f t="shared" si="26"/>
        <v>26.44</v>
      </c>
      <c r="K102" s="5">
        <f>41.16</f>
        <v>41.16</v>
      </c>
      <c r="L102" s="4"/>
      <c r="M102" s="5">
        <f t="shared" si="27"/>
        <v>41.16</v>
      </c>
      <c r="N102" s="5">
        <f>26.78</f>
        <v>26.78</v>
      </c>
      <c r="O102" s="4"/>
      <c r="P102" s="5">
        <f t="shared" si="28"/>
        <v>26.78</v>
      </c>
      <c r="Q102" s="5">
        <f t="shared" si="29"/>
        <v>100.07</v>
      </c>
      <c r="R102" s="5">
        <f t="shared" si="30"/>
        <v>0</v>
      </c>
      <c r="S102" s="5">
        <f t="shared" si="31"/>
        <v>100.07</v>
      </c>
    </row>
    <row r="103" spans="1:19" x14ac:dyDescent="0.3">
      <c r="A103" s="3" t="s">
        <v>105</v>
      </c>
      <c r="B103" s="4"/>
      <c r="C103" s="4"/>
      <c r="D103" s="5">
        <f t="shared" si="24"/>
        <v>0</v>
      </c>
      <c r="E103" s="4"/>
      <c r="F103" s="4"/>
      <c r="G103" s="5">
        <f t="shared" si="25"/>
        <v>0</v>
      </c>
      <c r="H103" s="4"/>
      <c r="I103" s="4"/>
      <c r="J103" s="5">
        <f t="shared" si="26"/>
        <v>0</v>
      </c>
      <c r="K103" s="4"/>
      <c r="L103" s="4"/>
      <c r="M103" s="5">
        <f t="shared" si="27"/>
        <v>0</v>
      </c>
      <c r="N103" s="4"/>
      <c r="O103" s="4"/>
      <c r="P103" s="5">
        <f t="shared" si="28"/>
        <v>0</v>
      </c>
      <c r="Q103" s="5">
        <f t="shared" si="29"/>
        <v>0</v>
      </c>
      <c r="R103" s="5">
        <f t="shared" si="30"/>
        <v>0</v>
      </c>
      <c r="S103" s="5">
        <f t="shared" si="31"/>
        <v>0</v>
      </c>
    </row>
    <row r="104" spans="1:19" x14ac:dyDescent="0.3">
      <c r="A104" s="3" t="s">
        <v>106</v>
      </c>
      <c r="B104" s="5">
        <f>170</f>
        <v>170</v>
      </c>
      <c r="C104" s="5">
        <f>170</f>
        <v>170</v>
      </c>
      <c r="D104" s="5">
        <f t="shared" si="24"/>
        <v>0</v>
      </c>
      <c r="E104" s="5">
        <f>170</f>
        <v>170</v>
      </c>
      <c r="F104" s="5">
        <f>170</f>
        <v>170</v>
      </c>
      <c r="G104" s="5">
        <f t="shared" si="25"/>
        <v>0</v>
      </c>
      <c r="H104" s="5">
        <f>170</f>
        <v>170</v>
      </c>
      <c r="I104" s="5">
        <f>170</f>
        <v>170</v>
      </c>
      <c r="J104" s="5">
        <f t="shared" si="26"/>
        <v>0</v>
      </c>
      <c r="K104" s="5">
        <f>170</f>
        <v>170</v>
      </c>
      <c r="L104" s="5">
        <f>170</f>
        <v>170</v>
      </c>
      <c r="M104" s="5">
        <f t="shared" si="27"/>
        <v>0</v>
      </c>
      <c r="N104" s="5">
        <f>320</f>
        <v>320</v>
      </c>
      <c r="O104" s="5">
        <f>170</f>
        <v>170</v>
      </c>
      <c r="P104" s="5">
        <f t="shared" si="28"/>
        <v>150</v>
      </c>
      <c r="Q104" s="5">
        <f t="shared" si="29"/>
        <v>1000</v>
      </c>
      <c r="R104" s="5">
        <f t="shared" si="30"/>
        <v>850</v>
      </c>
      <c r="S104" s="5">
        <f t="shared" si="31"/>
        <v>150</v>
      </c>
    </row>
    <row r="105" spans="1:19" x14ac:dyDescent="0.3">
      <c r="A105" s="3" t="s">
        <v>107</v>
      </c>
      <c r="B105" s="4"/>
      <c r="C105" s="5">
        <f>0</f>
        <v>0</v>
      </c>
      <c r="D105" s="5">
        <f t="shared" si="24"/>
        <v>0</v>
      </c>
      <c r="E105" s="5">
        <f>7074</f>
        <v>7074</v>
      </c>
      <c r="F105" s="5">
        <f>7074</f>
        <v>7074</v>
      </c>
      <c r="G105" s="5">
        <f t="shared" si="25"/>
        <v>0</v>
      </c>
      <c r="H105" s="4"/>
      <c r="I105" s="5">
        <f>0</f>
        <v>0</v>
      </c>
      <c r="J105" s="5">
        <f t="shared" si="26"/>
        <v>0</v>
      </c>
      <c r="K105" s="4"/>
      <c r="L105" s="5">
        <f>0</f>
        <v>0</v>
      </c>
      <c r="M105" s="5">
        <f t="shared" si="27"/>
        <v>0</v>
      </c>
      <c r="N105" s="4"/>
      <c r="O105" s="5">
        <f>0</f>
        <v>0</v>
      </c>
      <c r="P105" s="5">
        <f t="shared" si="28"/>
        <v>0</v>
      </c>
      <c r="Q105" s="5">
        <f t="shared" si="29"/>
        <v>7074</v>
      </c>
      <c r="R105" s="5">
        <f t="shared" si="30"/>
        <v>7074</v>
      </c>
      <c r="S105" s="5">
        <f t="shared" si="31"/>
        <v>0</v>
      </c>
    </row>
    <row r="106" spans="1:19" x14ac:dyDescent="0.3">
      <c r="A106" s="3" t="s">
        <v>108</v>
      </c>
      <c r="B106" s="5">
        <f>3475</f>
        <v>3475</v>
      </c>
      <c r="C106" s="5">
        <f>3000</f>
        <v>3000</v>
      </c>
      <c r="D106" s="5">
        <f t="shared" si="24"/>
        <v>475</v>
      </c>
      <c r="E106" s="5">
        <f>9525</f>
        <v>9525</v>
      </c>
      <c r="F106" s="5">
        <f>3000</f>
        <v>3000</v>
      </c>
      <c r="G106" s="5">
        <f t="shared" si="25"/>
        <v>6525</v>
      </c>
      <c r="H106" s="5">
        <f>850</f>
        <v>850</v>
      </c>
      <c r="I106" s="5">
        <f>0</f>
        <v>0</v>
      </c>
      <c r="J106" s="5">
        <f t="shared" si="26"/>
        <v>850</v>
      </c>
      <c r="K106" s="4"/>
      <c r="L106" s="5">
        <f>0</f>
        <v>0</v>
      </c>
      <c r="M106" s="5">
        <f t="shared" si="27"/>
        <v>0</v>
      </c>
      <c r="N106" s="4"/>
      <c r="O106" s="5">
        <f>0</f>
        <v>0</v>
      </c>
      <c r="P106" s="5">
        <f t="shared" si="28"/>
        <v>0</v>
      </c>
      <c r="Q106" s="5">
        <f t="shared" si="29"/>
        <v>13850</v>
      </c>
      <c r="R106" s="5">
        <f t="shared" si="30"/>
        <v>6000</v>
      </c>
      <c r="S106" s="5">
        <f t="shared" si="31"/>
        <v>7850</v>
      </c>
    </row>
    <row r="107" spans="1:19" x14ac:dyDescent="0.3">
      <c r="A107" s="3" t="s">
        <v>109</v>
      </c>
      <c r="B107" s="5">
        <f>202.09</f>
        <v>202.09</v>
      </c>
      <c r="C107" s="5">
        <f>202</f>
        <v>202</v>
      </c>
      <c r="D107" s="5">
        <f t="shared" si="24"/>
        <v>9.0000000000003411E-2</v>
      </c>
      <c r="E107" s="5">
        <f>202.09</f>
        <v>202.09</v>
      </c>
      <c r="F107" s="5">
        <f>202</f>
        <v>202</v>
      </c>
      <c r="G107" s="5">
        <f t="shared" si="25"/>
        <v>9.0000000000003411E-2</v>
      </c>
      <c r="H107" s="5">
        <f>202.09</f>
        <v>202.09</v>
      </c>
      <c r="I107" s="5">
        <f>202</f>
        <v>202</v>
      </c>
      <c r="J107" s="5">
        <f t="shared" si="26"/>
        <v>9.0000000000003411E-2</v>
      </c>
      <c r="K107" s="5">
        <f>202.09</f>
        <v>202.09</v>
      </c>
      <c r="L107" s="5">
        <f>202</f>
        <v>202</v>
      </c>
      <c r="M107" s="5">
        <f t="shared" si="27"/>
        <v>9.0000000000003411E-2</v>
      </c>
      <c r="N107" s="5">
        <f>202.09</f>
        <v>202.09</v>
      </c>
      <c r="O107" s="5">
        <f>202</f>
        <v>202</v>
      </c>
      <c r="P107" s="5">
        <f t="shared" si="28"/>
        <v>9.0000000000003411E-2</v>
      </c>
      <c r="Q107" s="5">
        <f t="shared" si="29"/>
        <v>1010.45</v>
      </c>
      <c r="R107" s="5">
        <f t="shared" si="30"/>
        <v>1010</v>
      </c>
      <c r="S107" s="5">
        <f t="shared" si="31"/>
        <v>0.45000000000004547</v>
      </c>
    </row>
    <row r="108" spans="1:19" x14ac:dyDescent="0.3">
      <c r="A108" s="3" t="s">
        <v>110</v>
      </c>
      <c r="B108" s="4"/>
      <c r="C108" s="5">
        <f>148.83</f>
        <v>148.83000000000001</v>
      </c>
      <c r="D108" s="5">
        <f t="shared" si="24"/>
        <v>-148.83000000000001</v>
      </c>
      <c r="E108" s="5">
        <f>239.32</f>
        <v>239.32</v>
      </c>
      <c r="F108" s="5">
        <f>148.83</f>
        <v>148.83000000000001</v>
      </c>
      <c r="G108" s="5">
        <f t="shared" si="25"/>
        <v>90.489999999999981</v>
      </c>
      <c r="H108" s="5">
        <f>119.66</f>
        <v>119.66</v>
      </c>
      <c r="I108" s="5">
        <f>148.83</f>
        <v>148.83000000000001</v>
      </c>
      <c r="J108" s="5">
        <f t="shared" si="26"/>
        <v>-29.170000000000016</v>
      </c>
      <c r="K108" s="5">
        <f>235.62</f>
        <v>235.62</v>
      </c>
      <c r="L108" s="5">
        <f>148.83</f>
        <v>148.83000000000001</v>
      </c>
      <c r="M108" s="5">
        <f t="shared" si="27"/>
        <v>86.789999999999992</v>
      </c>
      <c r="N108" s="5">
        <f>119.66</f>
        <v>119.66</v>
      </c>
      <c r="O108" s="5">
        <f>148.83</f>
        <v>148.83000000000001</v>
      </c>
      <c r="P108" s="5">
        <f t="shared" si="28"/>
        <v>-29.170000000000016</v>
      </c>
      <c r="Q108" s="5">
        <f t="shared" si="29"/>
        <v>714.26</v>
      </c>
      <c r="R108" s="5">
        <f t="shared" si="30"/>
        <v>744.15000000000009</v>
      </c>
      <c r="S108" s="5">
        <f t="shared" si="31"/>
        <v>-29.8900000000001</v>
      </c>
    </row>
    <row r="109" spans="1:19" x14ac:dyDescent="0.3">
      <c r="A109" s="3" t="s">
        <v>111</v>
      </c>
      <c r="B109" s="6">
        <f>(((((B103)+(B104))+(B105))+(B106))+(B107))+(B108)</f>
        <v>3847.09</v>
      </c>
      <c r="C109" s="6">
        <f>(((((C103)+(C104))+(C105))+(C106))+(C107))+(C108)</f>
        <v>3520.83</v>
      </c>
      <c r="D109" s="6">
        <f t="shared" si="24"/>
        <v>326.26000000000022</v>
      </c>
      <c r="E109" s="6">
        <f>(((((E103)+(E104))+(E105))+(E106))+(E107))+(E108)</f>
        <v>17210.41</v>
      </c>
      <c r="F109" s="6">
        <f>(((((F103)+(F104))+(F105))+(F106))+(F107))+(F108)</f>
        <v>10594.83</v>
      </c>
      <c r="G109" s="6">
        <f t="shared" si="25"/>
        <v>6615.58</v>
      </c>
      <c r="H109" s="6">
        <f>(((((H103)+(H104))+(H105))+(H106))+(H107))+(H108)</f>
        <v>1341.75</v>
      </c>
      <c r="I109" s="6">
        <f>(((((I103)+(I104))+(I105))+(I106))+(I107))+(I108)</f>
        <v>520.83000000000004</v>
      </c>
      <c r="J109" s="6">
        <f t="shared" si="26"/>
        <v>820.92</v>
      </c>
      <c r="K109" s="6">
        <f>(((((K103)+(K104))+(K105))+(K106))+(K107))+(K108)</f>
        <v>607.71</v>
      </c>
      <c r="L109" s="6">
        <f>(((((L103)+(L104))+(L105))+(L106))+(L107))+(L108)</f>
        <v>520.83000000000004</v>
      </c>
      <c r="M109" s="6">
        <f t="shared" si="27"/>
        <v>86.88</v>
      </c>
      <c r="N109" s="6">
        <f>(((((N103)+(N104))+(N105))+(N106))+(N107))+(N108)</f>
        <v>641.75</v>
      </c>
      <c r="O109" s="6">
        <f>(((((O103)+(O104))+(O105))+(O106))+(O107))+(O108)</f>
        <v>520.83000000000004</v>
      </c>
      <c r="P109" s="6">
        <f t="shared" si="28"/>
        <v>120.91999999999996</v>
      </c>
      <c r="Q109" s="6">
        <f t="shared" si="29"/>
        <v>23648.71</v>
      </c>
      <c r="R109" s="6">
        <f t="shared" si="30"/>
        <v>15678.15</v>
      </c>
      <c r="S109" s="6">
        <f t="shared" si="31"/>
        <v>7970.5599999999995</v>
      </c>
    </row>
    <row r="110" spans="1:19" x14ac:dyDescent="0.3">
      <c r="A110" s="3" t="s">
        <v>112</v>
      </c>
      <c r="B110" s="4"/>
      <c r="C110" s="4"/>
      <c r="D110" s="5">
        <f t="shared" si="24"/>
        <v>0</v>
      </c>
      <c r="E110" s="4"/>
      <c r="F110" s="4"/>
      <c r="G110" s="5">
        <f t="shared" si="25"/>
        <v>0</v>
      </c>
      <c r="H110" s="4"/>
      <c r="I110" s="4"/>
      <c r="J110" s="5">
        <f t="shared" si="26"/>
        <v>0</v>
      </c>
      <c r="K110" s="4"/>
      <c r="L110" s="4"/>
      <c r="M110" s="5">
        <f t="shared" si="27"/>
        <v>0</v>
      </c>
      <c r="N110" s="4"/>
      <c r="O110" s="4"/>
      <c r="P110" s="5">
        <f t="shared" si="28"/>
        <v>0</v>
      </c>
      <c r="Q110" s="5">
        <f t="shared" si="29"/>
        <v>0</v>
      </c>
      <c r="R110" s="5">
        <f t="shared" si="30"/>
        <v>0</v>
      </c>
      <c r="S110" s="5">
        <f t="shared" si="31"/>
        <v>0</v>
      </c>
    </row>
    <row r="111" spans="1:19" x14ac:dyDescent="0.3">
      <c r="A111" s="3" t="s">
        <v>113</v>
      </c>
      <c r="B111" s="5">
        <f>3540.59</f>
        <v>3540.59</v>
      </c>
      <c r="C111" s="5">
        <f>1833.33</f>
        <v>1833.33</v>
      </c>
      <c r="D111" s="5">
        <f t="shared" si="24"/>
        <v>1707.2600000000002</v>
      </c>
      <c r="E111" s="5">
        <f>4027.7</f>
        <v>4027.7</v>
      </c>
      <c r="F111" s="5">
        <f>1833.33</f>
        <v>1833.33</v>
      </c>
      <c r="G111" s="5">
        <f t="shared" si="25"/>
        <v>2194.37</v>
      </c>
      <c r="H111" s="5">
        <f>3704.29</f>
        <v>3704.29</v>
      </c>
      <c r="I111" s="5">
        <f>1833.33</f>
        <v>1833.33</v>
      </c>
      <c r="J111" s="5">
        <f t="shared" si="26"/>
        <v>1870.96</v>
      </c>
      <c r="K111" s="5">
        <f>2131.55</f>
        <v>2131.5500000000002</v>
      </c>
      <c r="L111" s="5">
        <f>1833.33</f>
        <v>1833.33</v>
      </c>
      <c r="M111" s="5">
        <f t="shared" si="27"/>
        <v>298.22000000000025</v>
      </c>
      <c r="N111" s="5">
        <f>1682.06</f>
        <v>1682.06</v>
      </c>
      <c r="O111" s="5">
        <f>1833.33</f>
        <v>1833.33</v>
      </c>
      <c r="P111" s="5">
        <f t="shared" si="28"/>
        <v>-151.26999999999998</v>
      </c>
      <c r="Q111" s="5">
        <f t="shared" si="29"/>
        <v>15086.19</v>
      </c>
      <c r="R111" s="5">
        <f t="shared" si="30"/>
        <v>9166.65</v>
      </c>
      <c r="S111" s="5">
        <f t="shared" si="31"/>
        <v>5919.5400000000009</v>
      </c>
    </row>
    <row r="112" spans="1:19" x14ac:dyDescent="0.3">
      <c r="A112" s="3" t="s">
        <v>114</v>
      </c>
      <c r="B112" s="5">
        <f>284.39</f>
        <v>284.39</v>
      </c>
      <c r="C112" s="5">
        <f>416.67</f>
        <v>416.67</v>
      </c>
      <c r="D112" s="5">
        <f t="shared" si="24"/>
        <v>-132.28000000000003</v>
      </c>
      <c r="E112" s="5">
        <f>319.9</f>
        <v>319.89999999999998</v>
      </c>
      <c r="F112" s="5">
        <f>416.67</f>
        <v>416.67</v>
      </c>
      <c r="G112" s="5">
        <f t="shared" si="25"/>
        <v>-96.770000000000039</v>
      </c>
      <c r="H112" s="5">
        <f>282.34</f>
        <v>282.33999999999997</v>
      </c>
      <c r="I112" s="5">
        <f>416.67</f>
        <v>416.67</v>
      </c>
      <c r="J112" s="5">
        <f t="shared" si="26"/>
        <v>-134.33000000000004</v>
      </c>
      <c r="K112" s="5">
        <f>298.22</f>
        <v>298.22000000000003</v>
      </c>
      <c r="L112" s="5">
        <f>416.67</f>
        <v>416.67</v>
      </c>
      <c r="M112" s="5">
        <f t="shared" si="27"/>
        <v>-118.44999999999999</v>
      </c>
      <c r="N112" s="5">
        <f>368.94</f>
        <v>368.94</v>
      </c>
      <c r="O112" s="5">
        <f>416.67</f>
        <v>416.67</v>
      </c>
      <c r="P112" s="5">
        <f t="shared" si="28"/>
        <v>-47.730000000000018</v>
      </c>
      <c r="Q112" s="5">
        <f t="shared" si="29"/>
        <v>1553.79</v>
      </c>
      <c r="R112" s="5">
        <f t="shared" si="30"/>
        <v>2083.35</v>
      </c>
      <c r="S112" s="5">
        <f t="shared" si="31"/>
        <v>-529.55999999999995</v>
      </c>
    </row>
    <row r="113" spans="1:19" x14ac:dyDescent="0.3">
      <c r="A113" s="3" t="s">
        <v>115</v>
      </c>
      <c r="B113" s="6">
        <f>((B110)+(B111))+(B112)</f>
        <v>3824.98</v>
      </c>
      <c r="C113" s="6">
        <f>((C110)+(C111))+(C112)</f>
        <v>2250</v>
      </c>
      <c r="D113" s="6">
        <f t="shared" si="24"/>
        <v>1574.98</v>
      </c>
      <c r="E113" s="6">
        <f>((E110)+(E111))+(E112)</f>
        <v>4347.5999999999995</v>
      </c>
      <c r="F113" s="6">
        <f>((F110)+(F111))+(F112)</f>
        <v>2250</v>
      </c>
      <c r="G113" s="6">
        <f t="shared" si="25"/>
        <v>2097.5999999999995</v>
      </c>
      <c r="H113" s="6">
        <f>((H110)+(H111))+(H112)</f>
        <v>3986.63</v>
      </c>
      <c r="I113" s="6">
        <f>((I110)+(I111))+(I112)</f>
        <v>2250</v>
      </c>
      <c r="J113" s="6">
        <f t="shared" si="26"/>
        <v>1736.63</v>
      </c>
      <c r="K113" s="6">
        <f>((K110)+(K111))+(K112)</f>
        <v>2429.7700000000004</v>
      </c>
      <c r="L113" s="6">
        <f>((L110)+(L111))+(L112)</f>
        <v>2250</v>
      </c>
      <c r="M113" s="6">
        <f t="shared" si="27"/>
        <v>179.77000000000044</v>
      </c>
      <c r="N113" s="6">
        <f>((N110)+(N111))+(N112)</f>
        <v>2051</v>
      </c>
      <c r="O113" s="6">
        <f>((O110)+(O111))+(O112)</f>
        <v>2250</v>
      </c>
      <c r="P113" s="6">
        <f t="shared" si="28"/>
        <v>-199</v>
      </c>
      <c r="Q113" s="6">
        <f t="shared" si="29"/>
        <v>16639.98</v>
      </c>
      <c r="R113" s="6">
        <f t="shared" si="30"/>
        <v>11250</v>
      </c>
      <c r="S113" s="6">
        <f t="shared" si="31"/>
        <v>5389.98</v>
      </c>
    </row>
    <row r="114" spans="1:19" x14ac:dyDescent="0.3">
      <c r="A114" s="3" t="s">
        <v>116</v>
      </c>
      <c r="B114" s="4"/>
      <c r="C114" s="5">
        <f>1250</f>
        <v>1250</v>
      </c>
      <c r="D114" s="5">
        <f t="shared" si="24"/>
        <v>-1250</v>
      </c>
      <c r="E114" s="5">
        <f>37.36</f>
        <v>37.36</v>
      </c>
      <c r="F114" s="5">
        <f>1250</f>
        <v>1250</v>
      </c>
      <c r="G114" s="5">
        <f t="shared" si="25"/>
        <v>-1212.6400000000001</v>
      </c>
      <c r="H114" s="5">
        <f>1356.42</f>
        <v>1356.42</v>
      </c>
      <c r="I114" s="5">
        <f>1250</f>
        <v>1250</v>
      </c>
      <c r="J114" s="5">
        <f t="shared" si="26"/>
        <v>106.42000000000007</v>
      </c>
      <c r="K114" s="5">
        <f>802.47</f>
        <v>802.47</v>
      </c>
      <c r="L114" s="5">
        <f>1250</f>
        <v>1250</v>
      </c>
      <c r="M114" s="5">
        <f t="shared" si="27"/>
        <v>-447.53</v>
      </c>
      <c r="N114" s="5">
        <f>191.93</f>
        <v>191.93</v>
      </c>
      <c r="O114" s="5">
        <f>1250</f>
        <v>1250</v>
      </c>
      <c r="P114" s="5">
        <f t="shared" si="28"/>
        <v>-1058.07</v>
      </c>
      <c r="Q114" s="5">
        <f t="shared" si="29"/>
        <v>2388.1799999999998</v>
      </c>
      <c r="R114" s="5">
        <f t="shared" si="30"/>
        <v>6250</v>
      </c>
      <c r="S114" s="5">
        <f t="shared" si="31"/>
        <v>-3861.82</v>
      </c>
    </row>
    <row r="115" spans="1:19" x14ac:dyDescent="0.3">
      <c r="A115" s="3" t="s">
        <v>117</v>
      </c>
      <c r="B115" s="5">
        <f>475.16</f>
        <v>475.16</v>
      </c>
      <c r="C115" s="5">
        <f>375</f>
        <v>375</v>
      </c>
      <c r="D115" s="5">
        <f t="shared" si="24"/>
        <v>100.16000000000003</v>
      </c>
      <c r="E115" s="5">
        <f>448.27</f>
        <v>448.27</v>
      </c>
      <c r="F115" s="5">
        <f>375</f>
        <v>375</v>
      </c>
      <c r="G115" s="5">
        <f t="shared" si="25"/>
        <v>73.269999999999982</v>
      </c>
      <c r="H115" s="5">
        <f>616.15</f>
        <v>616.15</v>
      </c>
      <c r="I115" s="5">
        <f>375</f>
        <v>375</v>
      </c>
      <c r="J115" s="5">
        <f t="shared" si="26"/>
        <v>241.14999999999998</v>
      </c>
      <c r="K115" s="5">
        <f>457.44</f>
        <v>457.44</v>
      </c>
      <c r="L115" s="5">
        <f>375</f>
        <v>375</v>
      </c>
      <c r="M115" s="5">
        <f t="shared" si="27"/>
        <v>82.44</v>
      </c>
      <c r="N115" s="5">
        <f>263.07</f>
        <v>263.07</v>
      </c>
      <c r="O115" s="5">
        <f>375</f>
        <v>375</v>
      </c>
      <c r="P115" s="5">
        <f t="shared" si="28"/>
        <v>-111.93</v>
      </c>
      <c r="Q115" s="5">
        <f t="shared" si="29"/>
        <v>2260.09</v>
      </c>
      <c r="R115" s="5">
        <f t="shared" si="30"/>
        <v>1875</v>
      </c>
      <c r="S115" s="5">
        <f t="shared" si="31"/>
        <v>385.09000000000015</v>
      </c>
    </row>
    <row r="116" spans="1:19" x14ac:dyDescent="0.3">
      <c r="A116" s="3" t="s">
        <v>118</v>
      </c>
      <c r="B116" s="6">
        <f>(((((((((((B95)+(B96))+(B97))+(B98))+(B99))+(B100))+(B101))+(B102))+(B109))+(B113))+(B114))+(B115)</f>
        <v>11859.789999999999</v>
      </c>
      <c r="C116" s="6">
        <f>(((((((((((C95)+(C96))+(C97))+(C98))+(C99))+(C100))+(C101))+(C102))+(C109))+(C113))+(C114))+(C115)</f>
        <v>10666.24</v>
      </c>
      <c r="D116" s="6">
        <f t="shared" si="24"/>
        <v>1193.5499999999993</v>
      </c>
      <c r="E116" s="6">
        <f>(((((((((((E95)+(E96))+(E97))+(E98))+(E99))+(E100))+(E101))+(E102))+(E109))+(E113))+(E114))+(E115)</f>
        <v>24355.48</v>
      </c>
      <c r="F116" s="6">
        <f>(((((((((((F95)+(F96))+(F97))+(F98))+(F99))+(F100))+(F101))+(F102))+(F109))+(F113))+(F114))+(F115)</f>
        <v>17740.239999999998</v>
      </c>
      <c r="G116" s="6">
        <f t="shared" si="25"/>
        <v>6615.2400000000016</v>
      </c>
      <c r="H116" s="6">
        <f>(((((((((((H95)+(H96))+(H97))+(H98))+(H99))+(H100))+(H101))+(H102))+(H109))+(H113))+(H114))+(H115)</f>
        <v>9592.16</v>
      </c>
      <c r="I116" s="6">
        <f>(((((((((((I95)+(I96))+(I97))+(I98))+(I99))+(I100))+(I101))+(I102))+(I109))+(I113))+(I114))+(I115)</f>
        <v>7666.24</v>
      </c>
      <c r="J116" s="6">
        <f t="shared" si="26"/>
        <v>1925.92</v>
      </c>
      <c r="K116" s="6">
        <f>(((((((((((K95)+(K96))+(K97))+(K98))+(K99))+(K100))+(K101))+(K102))+(K109))+(K113))+(K114))+(K115)</f>
        <v>7667.24</v>
      </c>
      <c r="L116" s="6">
        <f>(((((((((((L95)+(L96))+(L97))+(L98))+(L99))+(L100))+(L101))+(L102))+(L109))+(L113))+(L114))+(L115)</f>
        <v>7666.24</v>
      </c>
      <c r="M116" s="6">
        <f t="shared" si="27"/>
        <v>1</v>
      </c>
      <c r="N116" s="6">
        <f>(((((((((((N95)+(N96))+(N97))+(N98))+(N99))+(N100))+(N101))+(N102))+(N109))+(N113))+(N114))+(N115)</f>
        <v>5408.41</v>
      </c>
      <c r="O116" s="6">
        <f>(((((((((((O95)+(O96))+(O97))+(O98))+(O99))+(O100))+(O101))+(O102))+(O109))+(O113))+(O114))+(O115)</f>
        <v>7666.24</v>
      </c>
      <c r="P116" s="6">
        <f t="shared" si="28"/>
        <v>-2257.83</v>
      </c>
      <c r="Q116" s="6">
        <f t="shared" si="29"/>
        <v>58883.079999999987</v>
      </c>
      <c r="R116" s="6">
        <f t="shared" si="30"/>
        <v>51405.19999999999</v>
      </c>
      <c r="S116" s="6">
        <f t="shared" si="31"/>
        <v>7477.8799999999974</v>
      </c>
    </row>
    <row r="117" spans="1:19" x14ac:dyDescent="0.3">
      <c r="A117" s="3" t="s">
        <v>119</v>
      </c>
      <c r="B117" s="4"/>
      <c r="C117" s="4"/>
      <c r="D117" s="5">
        <f t="shared" si="24"/>
        <v>0</v>
      </c>
      <c r="E117" s="4"/>
      <c r="F117" s="4"/>
      <c r="G117" s="5">
        <f t="shared" si="25"/>
        <v>0</v>
      </c>
      <c r="H117" s="4"/>
      <c r="I117" s="4"/>
      <c r="J117" s="5">
        <f t="shared" si="26"/>
        <v>0</v>
      </c>
      <c r="K117" s="4"/>
      <c r="L117" s="4"/>
      <c r="M117" s="5">
        <f t="shared" si="27"/>
        <v>0</v>
      </c>
      <c r="N117" s="4"/>
      <c r="O117" s="4"/>
      <c r="P117" s="5">
        <f t="shared" si="28"/>
        <v>0</v>
      </c>
      <c r="Q117" s="5">
        <f t="shared" si="29"/>
        <v>0</v>
      </c>
      <c r="R117" s="5">
        <f t="shared" si="30"/>
        <v>0</v>
      </c>
      <c r="S117" s="5">
        <f t="shared" si="31"/>
        <v>0</v>
      </c>
    </row>
    <row r="118" spans="1:19" x14ac:dyDescent="0.3">
      <c r="A118" s="3" t="s">
        <v>120</v>
      </c>
      <c r="B118" s="5">
        <f>829.86</f>
        <v>829.86</v>
      </c>
      <c r="C118" s="5">
        <f>812</f>
        <v>812</v>
      </c>
      <c r="D118" s="5">
        <f t="shared" si="24"/>
        <v>17.860000000000014</v>
      </c>
      <c r="E118" s="5">
        <f>826.65</f>
        <v>826.65</v>
      </c>
      <c r="F118" s="5">
        <f>812</f>
        <v>812</v>
      </c>
      <c r="G118" s="5">
        <f t="shared" si="25"/>
        <v>14.649999999999977</v>
      </c>
      <c r="H118" s="5">
        <f>823.44</f>
        <v>823.44</v>
      </c>
      <c r="I118" s="5">
        <f>812</f>
        <v>812</v>
      </c>
      <c r="J118" s="5">
        <f t="shared" si="26"/>
        <v>11.440000000000055</v>
      </c>
      <c r="K118" s="5">
        <f>820.22</f>
        <v>820.22</v>
      </c>
      <c r="L118" s="5">
        <f>812</f>
        <v>812</v>
      </c>
      <c r="M118" s="5">
        <f t="shared" si="27"/>
        <v>8.2200000000000273</v>
      </c>
      <c r="N118" s="5">
        <f>816.98</f>
        <v>816.98</v>
      </c>
      <c r="O118" s="5">
        <f>812</f>
        <v>812</v>
      </c>
      <c r="P118" s="5">
        <f t="shared" si="28"/>
        <v>4.9800000000000182</v>
      </c>
      <c r="Q118" s="5">
        <f t="shared" si="29"/>
        <v>4117.1499999999996</v>
      </c>
      <c r="R118" s="5">
        <f t="shared" si="30"/>
        <v>4060</v>
      </c>
      <c r="S118" s="5">
        <f t="shared" si="31"/>
        <v>57.149999999999636</v>
      </c>
    </row>
    <row r="119" spans="1:19" x14ac:dyDescent="0.3">
      <c r="A119" s="3" t="s">
        <v>121</v>
      </c>
      <c r="B119" s="4"/>
      <c r="C119" s="5">
        <f>0</f>
        <v>0</v>
      </c>
      <c r="D119" s="5">
        <f t="shared" si="24"/>
        <v>0</v>
      </c>
      <c r="E119" s="4"/>
      <c r="F119" s="5">
        <f>0</f>
        <v>0</v>
      </c>
      <c r="G119" s="5">
        <f t="shared" si="25"/>
        <v>0</v>
      </c>
      <c r="H119" s="5">
        <f>6843.64</f>
        <v>6843.64</v>
      </c>
      <c r="I119" s="5">
        <f>7500</f>
        <v>7500</v>
      </c>
      <c r="J119" s="5">
        <f t="shared" si="26"/>
        <v>-656.35999999999967</v>
      </c>
      <c r="K119" s="4"/>
      <c r="L119" s="5">
        <f>0</f>
        <v>0</v>
      </c>
      <c r="M119" s="5">
        <f t="shared" si="27"/>
        <v>0</v>
      </c>
      <c r="N119" s="5">
        <f>7912.05</f>
        <v>7912.05</v>
      </c>
      <c r="O119" s="5">
        <f>0</f>
        <v>0</v>
      </c>
      <c r="P119" s="5">
        <f t="shared" si="28"/>
        <v>7912.05</v>
      </c>
      <c r="Q119" s="5">
        <f t="shared" si="29"/>
        <v>14755.69</v>
      </c>
      <c r="R119" s="5">
        <f t="shared" si="30"/>
        <v>7500</v>
      </c>
      <c r="S119" s="5">
        <f t="shared" si="31"/>
        <v>7255.6900000000005</v>
      </c>
    </row>
    <row r="120" spans="1:19" x14ac:dyDescent="0.3">
      <c r="A120" s="3" t="s">
        <v>122</v>
      </c>
      <c r="B120" s="5">
        <f>165</f>
        <v>165</v>
      </c>
      <c r="C120" s="5">
        <f>233.33</f>
        <v>233.33</v>
      </c>
      <c r="D120" s="5">
        <f t="shared" si="24"/>
        <v>-68.330000000000013</v>
      </c>
      <c r="E120" s="5">
        <f>642.5</f>
        <v>642.5</v>
      </c>
      <c r="F120" s="5">
        <f>233.33</f>
        <v>233.33</v>
      </c>
      <c r="G120" s="5">
        <f t="shared" si="25"/>
        <v>409.16999999999996</v>
      </c>
      <c r="H120" s="5">
        <f>185</f>
        <v>185</v>
      </c>
      <c r="I120" s="5">
        <f>233.33</f>
        <v>233.33</v>
      </c>
      <c r="J120" s="5">
        <f t="shared" si="26"/>
        <v>-48.330000000000013</v>
      </c>
      <c r="K120" s="5">
        <f>270</f>
        <v>270</v>
      </c>
      <c r="L120" s="5">
        <f>233.33</f>
        <v>233.33</v>
      </c>
      <c r="M120" s="5">
        <f t="shared" si="27"/>
        <v>36.669999999999987</v>
      </c>
      <c r="N120" s="5">
        <f>191.5</f>
        <v>191.5</v>
      </c>
      <c r="O120" s="5">
        <f>233.33</f>
        <v>233.33</v>
      </c>
      <c r="P120" s="5">
        <f t="shared" si="28"/>
        <v>-41.830000000000013</v>
      </c>
      <c r="Q120" s="5">
        <f t="shared" si="29"/>
        <v>1454</v>
      </c>
      <c r="R120" s="5">
        <f t="shared" si="30"/>
        <v>1166.6500000000001</v>
      </c>
      <c r="S120" s="5">
        <f t="shared" si="31"/>
        <v>287.34999999999991</v>
      </c>
    </row>
    <row r="121" spans="1:19" x14ac:dyDescent="0.3">
      <c r="A121" s="3" t="s">
        <v>123</v>
      </c>
      <c r="B121" s="6">
        <f>(((B117)+(B118))+(B119))+(B120)</f>
        <v>994.86</v>
      </c>
      <c r="C121" s="6">
        <f>(((C117)+(C118))+(C119))+(C120)</f>
        <v>1045.33</v>
      </c>
      <c r="D121" s="6">
        <f t="shared" si="24"/>
        <v>-50.469999999999914</v>
      </c>
      <c r="E121" s="6">
        <f>(((E117)+(E118))+(E119))+(E120)</f>
        <v>1469.15</v>
      </c>
      <c r="F121" s="6">
        <f>(((F117)+(F118))+(F119))+(F120)</f>
        <v>1045.33</v>
      </c>
      <c r="G121" s="6">
        <f t="shared" si="25"/>
        <v>423.82000000000016</v>
      </c>
      <c r="H121" s="6">
        <f>(((H117)+(H118))+(H119))+(H120)</f>
        <v>7852.08</v>
      </c>
      <c r="I121" s="6">
        <f>(((I117)+(I118))+(I119))+(I120)</f>
        <v>8545.33</v>
      </c>
      <c r="J121" s="6">
        <f t="shared" si="26"/>
        <v>-693.25</v>
      </c>
      <c r="K121" s="6">
        <f>(((K117)+(K118))+(K119))+(K120)</f>
        <v>1090.22</v>
      </c>
      <c r="L121" s="6">
        <f>(((L117)+(L118))+(L119))+(L120)</f>
        <v>1045.33</v>
      </c>
      <c r="M121" s="6">
        <f t="shared" si="27"/>
        <v>44.8900000000001</v>
      </c>
      <c r="N121" s="6">
        <f>(((N117)+(N118))+(N119))+(N120)</f>
        <v>8920.5300000000007</v>
      </c>
      <c r="O121" s="6">
        <f>(((O117)+(O118))+(O119))+(O120)</f>
        <v>1045.33</v>
      </c>
      <c r="P121" s="6">
        <f t="shared" si="28"/>
        <v>7875.2000000000007</v>
      </c>
      <c r="Q121" s="6">
        <f t="shared" si="29"/>
        <v>20326.84</v>
      </c>
      <c r="R121" s="6">
        <f t="shared" si="30"/>
        <v>12726.65</v>
      </c>
      <c r="S121" s="6">
        <f t="shared" si="31"/>
        <v>7600.1900000000005</v>
      </c>
    </row>
    <row r="122" spans="1:19" x14ac:dyDescent="0.3">
      <c r="A122" s="3" t="s">
        <v>124</v>
      </c>
      <c r="B122" s="4"/>
      <c r="C122" s="4"/>
      <c r="D122" s="5">
        <f t="shared" ref="D122:D153" si="32">(B122)-(C122)</f>
        <v>0</v>
      </c>
      <c r="E122" s="4"/>
      <c r="F122" s="4"/>
      <c r="G122" s="5">
        <f t="shared" ref="G122:G153" si="33">(E122)-(F122)</f>
        <v>0</v>
      </c>
      <c r="H122" s="4"/>
      <c r="I122" s="4"/>
      <c r="J122" s="5">
        <f t="shared" ref="J122:J153" si="34">(H122)-(I122)</f>
        <v>0</v>
      </c>
      <c r="K122" s="4"/>
      <c r="L122" s="4"/>
      <c r="M122" s="5">
        <f t="shared" ref="M122:M153" si="35">(K122)-(L122)</f>
        <v>0</v>
      </c>
      <c r="N122" s="4"/>
      <c r="O122" s="4"/>
      <c r="P122" s="5">
        <f t="shared" ref="P122:P153" si="36">(N122)-(O122)</f>
        <v>0</v>
      </c>
      <c r="Q122" s="5">
        <f t="shared" ref="Q122:Q128" si="37">((((B122)+(E122))+(H122))+(K122))+(N122)</f>
        <v>0</v>
      </c>
      <c r="R122" s="5">
        <f t="shared" ref="R122:R128" si="38">((((C122)+(F122))+(I122))+(L122))+(O122)</f>
        <v>0</v>
      </c>
      <c r="S122" s="5">
        <f t="shared" ref="S122:S153" si="39">(Q122)-(R122)</f>
        <v>0</v>
      </c>
    </row>
    <row r="123" spans="1:19" x14ac:dyDescent="0.3">
      <c r="A123" s="3" t="s">
        <v>125</v>
      </c>
      <c r="B123" s="4"/>
      <c r="C123" s="5">
        <f>20.83</f>
        <v>20.83</v>
      </c>
      <c r="D123" s="5">
        <f t="shared" si="32"/>
        <v>-20.83</v>
      </c>
      <c r="E123" s="4"/>
      <c r="F123" s="5">
        <f>20.83</f>
        <v>20.83</v>
      </c>
      <c r="G123" s="5">
        <f t="shared" si="33"/>
        <v>-20.83</v>
      </c>
      <c r="H123" s="4"/>
      <c r="I123" s="5">
        <f>20.83</f>
        <v>20.83</v>
      </c>
      <c r="J123" s="5">
        <f t="shared" si="34"/>
        <v>-20.83</v>
      </c>
      <c r="K123" s="4"/>
      <c r="L123" s="5">
        <f>20.83</f>
        <v>20.83</v>
      </c>
      <c r="M123" s="5">
        <f t="shared" si="35"/>
        <v>-20.83</v>
      </c>
      <c r="N123" s="4"/>
      <c r="O123" s="5">
        <f>20.83</f>
        <v>20.83</v>
      </c>
      <c r="P123" s="5">
        <f t="shared" si="36"/>
        <v>-20.83</v>
      </c>
      <c r="Q123" s="5">
        <f t="shared" si="37"/>
        <v>0</v>
      </c>
      <c r="R123" s="5">
        <f t="shared" si="38"/>
        <v>104.14999999999999</v>
      </c>
      <c r="S123" s="5">
        <f t="shared" si="39"/>
        <v>-104.14999999999999</v>
      </c>
    </row>
    <row r="124" spans="1:19" x14ac:dyDescent="0.3">
      <c r="A124" s="3" t="s">
        <v>126</v>
      </c>
      <c r="B124" s="5">
        <f>229.24</f>
        <v>229.24</v>
      </c>
      <c r="C124" s="5">
        <f>225</f>
        <v>225</v>
      </c>
      <c r="D124" s="5">
        <f t="shared" si="32"/>
        <v>4.2400000000000091</v>
      </c>
      <c r="E124" s="5">
        <f>496.82</f>
        <v>496.82</v>
      </c>
      <c r="F124" s="5">
        <f>225</f>
        <v>225</v>
      </c>
      <c r="G124" s="5">
        <f t="shared" si="33"/>
        <v>271.82</v>
      </c>
      <c r="H124" s="5">
        <f>255.19</f>
        <v>255.19</v>
      </c>
      <c r="I124" s="5">
        <f>225</f>
        <v>225</v>
      </c>
      <c r="J124" s="5">
        <f t="shared" si="34"/>
        <v>30.189999999999998</v>
      </c>
      <c r="K124" s="5">
        <f>263.11</f>
        <v>263.11</v>
      </c>
      <c r="L124" s="5">
        <f>225</f>
        <v>225</v>
      </c>
      <c r="M124" s="5">
        <f t="shared" si="35"/>
        <v>38.110000000000014</v>
      </c>
      <c r="N124" s="5">
        <f>351.59</f>
        <v>351.59</v>
      </c>
      <c r="O124" s="5">
        <f>225</f>
        <v>225</v>
      </c>
      <c r="P124" s="5">
        <f t="shared" si="36"/>
        <v>126.58999999999997</v>
      </c>
      <c r="Q124" s="5">
        <f t="shared" si="37"/>
        <v>1595.95</v>
      </c>
      <c r="R124" s="5">
        <f t="shared" si="38"/>
        <v>1125</v>
      </c>
      <c r="S124" s="5">
        <f t="shared" si="39"/>
        <v>470.95000000000005</v>
      </c>
    </row>
    <row r="125" spans="1:19" x14ac:dyDescent="0.3">
      <c r="A125" s="3" t="s">
        <v>127</v>
      </c>
      <c r="B125" s="6">
        <f>((B122)+(B123))+(B124)</f>
        <v>229.24</v>
      </c>
      <c r="C125" s="6">
        <f>((C122)+(C123))+(C124)</f>
        <v>245.82999999999998</v>
      </c>
      <c r="D125" s="6">
        <f t="shared" si="32"/>
        <v>-16.589999999999975</v>
      </c>
      <c r="E125" s="6">
        <f>((E122)+(E123))+(E124)</f>
        <v>496.82</v>
      </c>
      <c r="F125" s="6">
        <f>((F122)+(F123))+(F124)</f>
        <v>245.82999999999998</v>
      </c>
      <c r="G125" s="6">
        <f t="shared" si="33"/>
        <v>250.99</v>
      </c>
      <c r="H125" s="6">
        <f>((H122)+(H123))+(H124)</f>
        <v>255.19</v>
      </c>
      <c r="I125" s="6">
        <f>((I122)+(I123))+(I124)</f>
        <v>245.82999999999998</v>
      </c>
      <c r="J125" s="6">
        <f t="shared" si="34"/>
        <v>9.3600000000000136</v>
      </c>
      <c r="K125" s="6">
        <f>((K122)+(K123))+(K124)</f>
        <v>263.11</v>
      </c>
      <c r="L125" s="6">
        <f>((L122)+(L123))+(L124)</f>
        <v>245.82999999999998</v>
      </c>
      <c r="M125" s="6">
        <f t="shared" si="35"/>
        <v>17.28000000000003</v>
      </c>
      <c r="N125" s="6">
        <f>((N122)+(N123))+(N124)</f>
        <v>351.59</v>
      </c>
      <c r="O125" s="6">
        <f>((O122)+(O123))+(O124)</f>
        <v>245.82999999999998</v>
      </c>
      <c r="P125" s="6">
        <f t="shared" si="36"/>
        <v>105.75999999999999</v>
      </c>
      <c r="Q125" s="6">
        <f t="shared" si="37"/>
        <v>1595.95</v>
      </c>
      <c r="R125" s="6">
        <f t="shared" si="38"/>
        <v>1229.1499999999999</v>
      </c>
      <c r="S125" s="6">
        <f t="shared" si="39"/>
        <v>366.80000000000018</v>
      </c>
    </row>
    <row r="126" spans="1:19" x14ac:dyDescent="0.3">
      <c r="A126" s="3" t="s">
        <v>128</v>
      </c>
      <c r="B126" s="6">
        <f>(((((((((B34)+(B44))+(B52))+(B69))+(B75))+(B80))+(B94))+(B116))+(B121))+(B125)</f>
        <v>37271.06</v>
      </c>
      <c r="C126" s="6">
        <f>(((((((((C34)+(C44))+(C52))+(C69))+(C75))+(C80))+(C94))+(C116))+(C121))+(C125)</f>
        <v>40434.9</v>
      </c>
      <c r="D126" s="6">
        <f t="shared" si="32"/>
        <v>-3163.8400000000038</v>
      </c>
      <c r="E126" s="6">
        <f>(((((((((E34)+(E44))+(E52))+(E69))+(E75))+(E80))+(E94))+(E116))+(E121))+(E125)</f>
        <v>56571.210000000006</v>
      </c>
      <c r="F126" s="6">
        <f>(((((((((F34)+(F44))+(F52))+(F69))+(F75))+(F80))+(F94))+(F116))+(F121))+(F125)</f>
        <v>51258.9</v>
      </c>
      <c r="G126" s="6">
        <f t="shared" si="33"/>
        <v>5312.3100000000049</v>
      </c>
      <c r="H126" s="6">
        <f>(((((((((H34)+(H44))+(H52))+(H69))+(H75))+(H80))+(H94))+(H116))+(H121))+(H125)</f>
        <v>46776.070000000007</v>
      </c>
      <c r="I126" s="6">
        <f>(((((((((I34)+(I44))+(I52))+(I69))+(I75))+(I80))+(I94))+(I116))+(I121))+(I125)</f>
        <v>49984.9</v>
      </c>
      <c r="J126" s="6">
        <f t="shared" si="34"/>
        <v>-3208.8299999999945</v>
      </c>
      <c r="K126" s="6">
        <f>(((((((((K34)+(K44))+(K52))+(K69))+(K75))+(K80))+(K94))+(K116))+(K121))+(K125)</f>
        <v>43760.19</v>
      </c>
      <c r="L126" s="6">
        <f>(((((((((L34)+(L44))+(L52))+(L69))+(L75))+(L80))+(L94))+(L116))+(L121))+(L125)</f>
        <v>38684.9</v>
      </c>
      <c r="M126" s="6">
        <f t="shared" si="35"/>
        <v>5075.2900000000009</v>
      </c>
      <c r="N126" s="6">
        <f>(((((((((N34)+(N44))+(N52))+(N69))+(N75))+(N80))+(N94))+(N116))+(N121))+(N125)</f>
        <v>45306.609999999993</v>
      </c>
      <c r="O126" s="6">
        <f>(((((((((O34)+(O44))+(O52))+(O69))+(O75))+(O80))+(O94))+(O116))+(O121))+(O125)</f>
        <v>38684.9</v>
      </c>
      <c r="P126" s="6">
        <f t="shared" si="36"/>
        <v>6621.7099999999919</v>
      </c>
      <c r="Q126" s="6">
        <f t="shared" si="37"/>
        <v>229685.14</v>
      </c>
      <c r="R126" s="6">
        <f t="shared" si="38"/>
        <v>219048.5</v>
      </c>
      <c r="S126" s="6">
        <f t="shared" si="39"/>
        <v>10636.640000000014</v>
      </c>
    </row>
    <row r="127" spans="1:19" x14ac:dyDescent="0.3">
      <c r="A127" s="3" t="s">
        <v>129</v>
      </c>
      <c r="B127" s="6">
        <f>(B24)-(B126)</f>
        <v>13799.730000000003</v>
      </c>
      <c r="C127" s="6">
        <f>(C24)-(C126)</f>
        <v>4630.18</v>
      </c>
      <c r="D127" s="6">
        <f t="shared" si="32"/>
        <v>9169.5500000000029</v>
      </c>
      <c r="E127" s="6">
        <f>(E24)-(E126)</f>
        <v>-2019.9700000000084</v>
      </c>
      <c r="F127" s="6">
        <f>(F24)-(F126)</f>
        <v>-6193.82</v>
      </c>
      <c r="G127" s="6">
        <f t="shared" si="33"/>
        <v>4173.8499999999913</v>
      </c>
      <c r="H127" s="6">
        <f>(H24)-(H126)</f>
        <v>9084.4599999999919</v>
      </c>
      <c r="I127" s="6">
        <f>(I24)-(I126)</f>
        <v>-4919.82</v>
      </c>
      <c r="J127" s="6">
        <f t="shared" si="34"/>
        <v>14004.279999999992</v>
      </c>
      <c r="K127" s="6">
        <f>(K24)-(K126)</f>
        <v>10403.249999999993</v>
      </c>
      <c r="L127" s="6">
        <f>(L24)-(L126)</f>
        <v>6380.18</v>
      </c>
      <c r="M127" s="6">
        <f t="shared" si="35"/>
        <v>4023.0699999999924</v>
      </c>
      <c r="N127" s="6">
        <f>(N24)-(N126)</f>
        <v>-10499.659999999989</v>
      </c>
      <c r="O127" s="6">
        <f>(O24)-(O126)</f>
        <v>6380.18</v>
      </c>
      <c r="P127" s="6">
        <f t="shared" si="36"/>
        <v>-16879.839999999989</v>
      </c>
      <c r="Q127" s="6">
        <f t="shared" si="37"/>
        <v>20767.80999999999</v>
      </c>
      <c r="R127" s="6">
        <f t="shared" si="38"/>
        <v>6276.9000000000015</v>
      </c>
      <c r="S127" s="6">
        <f t="shared" si="39"/>
        <v>14490.909999999989</v>
      </c>
    </row>
    <row r="128" spans="1:19" x14ac:dyDescent="0.3">
      <c r="A128" s="3" t="s">
        <v>130</v>
      </c>
      <c r="B128" s="7">
        <f>(B127)+(0)</f>
        <v>13799.730000000003</v>
      </c>
      <c r="C128" s="7">
        <f>(C127)+(0)</f>
        <v>4630.18</v>
      </c>
      <c r="D128" s="7">
        <f t="shared" si="32"/>
        <v>9169.5500000000029</v>
      </c>
      <c r="E128" s="7">
        <f>(E127)+(0)</f>
        <v>-2019.9700000000084</v>
      </c>
      <c r="F128" s="7">
        <f>(F127)+(0)</f>
        <v>-6193.82</v>
      </c>
      <c r="G128" s="7">
        <f t="shared" si="33"/>
        <v>4173.8499999999913</v>
      </c>
      <c r="H128" s="7">
        <f>(H127)+(0)</f>
        <v>9084.4599999999919</v>
      </c>
      <c r="I128" s="7">
        <f>(I127)+(0)</f>
        <v>-4919.82</v>
      </c>
      <c r="J128" s="7">
        <f t="shared" si="34"/>
        <v>14004.279999999992</v>
      </c>
      <c r="K128" s="7">
        <f>(K127)+(0)</f>
        <v>10403.249999999993</v>
      </c>
      <c r="L128" s="7">
        <f>(L127)+(0)</f>
        <v>6380.18</v>
      </c>
      <c r="M128" s="7">
        <f t="shared" si="35"/>
        <v>4023.0699999999924</v>
      </c>
      <c r="N128" s="7">
        <f>(N127)+(0)</f>
        <v>-10499.659999999989</v>
      </c>
      <c r="O128" s="7">
        <f>(O127)+(0)</f>
        <v>6380.18</v>
      </c>
      <c r="P128" s="7">
        <f t="shared" si="36"/>
        <v>-16879.839999999989</v>
      </c>
      <c r="Q128" s="7">
        <f t="shared" si="37"/>
        <v>20767.80999999999</v>
      </c>
      <c r="R128" s="7">
        <f t="shared" si="38"/>
        <v>6276.9000000000015</v>
      </c>
      <c r="S128" s="7">
        <f t="shared" si="39"/>
        <v>14490.909999999989</v>
      </c>
    </row>
    <row r="129" spans="1:19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2" spans="1:19" x14ac:dyDescent="0.3">
      <c r="A132" s="10" t="s">
        <v>131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</sheetData>
  <mergeCells count="10">
    <mergeCell ref="Q5:S5"/>
    <mergeCell ref="A132:S132"/>
    <mergeCell ref="A1:S1"/>
    <mergeCell ref="A2:S2"/>
    <mergeCell ref="A3:S3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Jonat</cp:lastModifiedBy>
  <dcterms:created xsi:type="dcterms:W3CDTF">2025-06-05T18:52:59Z</dcterms:created>
  <dcterms:modified xsi:type="dcterms:W3CDTF">2025-06-05T18:54:41Z</dcterms:modified>
</cp:coreProperties>
</file>