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73537de1dda2547/Documents/GSLC stuff/Financial Reports/"/>
    </mc:Choice>
  </mc:AlternateContent>
  <xr:revisionPtr revIDLastSave="0" documentId="8_{707BA8E9-8BBF-4A19-92A6-A15401051B12}" xr6:coauthVersionLast="47" xr6:coauthVersionMax="47" xr10:uidLastSave="{00000000-0000-0000-0000-000000000000}"/>
  <bookViews>
    <workbookView xWindow="0" yWindow="384" windowWidth="23040" windowHeight="12240" xr2:uid="{00000000-000D-0000-FFFF-FFFF00000000}"/>
  </bookViews>
  <sheets>
    <sheet name="Budget vs. Actual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5" i="1" l="1"/>
  <c r="G125" i="1" s="1"/>
  <c r="B125" i="1"/>
  <c r="F124" i="1"/>
  <c r="E124" i="1"/>
  <c r="G124" i="1" s="1"/>
  <c r="C124" i="1"/>
  <c r="B124" i="1"/>
  <c r="H124" i="1" s="1"/>
  <c r="H123" i="1"/>
  <c r="G123" i="1"/>
  <c r="F123" i="1"/>
  <c r="F125" i="1" s="1"/>
  <c r="C123" i="1"/>
  <c r="I123" i="1" s="1"/>
  <c r="J122" i="1"/>
  <c r="I122" i="1"/>
  <c r="H122" i="1"/>
  <c r="G122" i="1"/>
  <c r="D122" i="1"/>
  <c r="E121" i="1"/>
  <c r="C121" i="1"/>
  <c r="B121" i="1"/>
  <c r="F120" i="1"/>
  <c r="E120" i="1"/>
  <c r="G120" i="1" s="1"/>
  <c r="C120" i="1"/>
  <c r="I120" i="1" s="1"/>
  <c r="B120" i="1"/>
  <c r="J119" i="1"/>
  <c r="H119" i="1"/>
  <c r="G119" i="1"/>
  <c r="F119" i="1"/>
  <c r="C119" i="1"/>
  <c r="I119" i="1" s="1"/>
  <c r="I118" i="1"/>
  <c r="J118" i="1" s="1"/>
  <c r="F118" i="1"/>
  <c r="F121" i="1" s="1"/>
  <c r="G121" i="1" s="1"/>
  <c r="E118" i="1"/>
  <c r="G118" i="1" s="1"/>
  <c r="D118" i="1"/>
  <c r="C118" i="1"/>
  <c r="B118" i="1"/>
  <c r="H118" i="1" s="1"/>
  <c r="J117" i="1"/>
  <c r="I117" i="1"/>
  <c r="H117" i="1"/>
  <c r="G117" i="1"/>
  <c r="D117" i="1"/>
  <c r="I115" i="1"/>
  <c r="G115" i="1"/>
  <c r="F115" i="1"/>
  <c r="E115" i="1"/>
  <c r="C115" i="1"/>
  <c r="B115" i="1"/>
  <c r="D115" i="1" s="1"/>
  <c r="I114" i="1"/>
  <c r="J114" i="1" s="1"/>
  <c r="H114" i="1"/>
  <c r="F114" i="1"/>
  <c r="E114" i="1"/>
  <c r="G114" i="1" s="1"/>
  <c r="C114" i="1"/>
  <c r="D114" i="1" s="1"/>
  <c r="F112" i="1"/>
  <c r="E112" i="1"/>
  <c r="G112" i="1" s="1"/>
  <c r="C112" i="1"/>
  <c r="B112" i="1"/>
  <c r="F111" i="1"/>
  <c r="F113" i="1" s="1"/>
  <c r="E111" i="1"/>
  <c r="D111" i="1"/>
  <c r="C111" i="1"/>
  <c r="B111" i="1"/>
  <c r="I110" i="1"/>
  <c r="H110" i="1"/>
  <c r="J110" i="1" s="1"/>
  <c r="G110" i="1"/>
  <c r="D110" i="1"/>
  <c r="B109" i="1"/>
  <c r="F108" i="1"/>
  <c r="E108" i="1"/>
  <c r="D108" i="1"/>
  <c r="C108" i="1"/>
  <c r="I108" i="1" s="1"/>
  <c r="F107" i="1"/>
  <c r="E107" i="1"/>
  <c r="G107" i="1" s="1"/>
  <c r="C107" i="1"/>
  <c r="I107" i="1" s="1"/>
  <c r="B107" i="1"/>
  <c r="F106" i="1"/>
  <c r="E106" i="1"/>
  <c r="C106" i="1"/>
  <c r="B106" i="1"/>
  <c r="H106" i="1" s="1"/>
  <c r="F105" i="1"/>
  <c r="G105" i="1" s="1"/>
  <c r="E105" i="1"/>
  <c r="H105" i="1" s="1"/>
  <c r="D105" i="1"/>
  <c r="C105" i="1"/>
  <c r="F104" i="1"/>
  <c r="E104" i="1"/>
  <c r="E109" i="1" s="1"/>
  <c r="D104" i="1"/>
  <c r="C104" i="1"/>
  <c r="I104" i="1" s="1"/>
  <c r="B104" i="1"/>
  <c r="I103" i="1"/>
  <c r="H103" i="1"/>
  <c r="J103" i="1" s="1"/>
  <c r="G103" i="1"/>
  <c r="D103" i="1"/>
  <c r="J102" i="1"/>
  <c r="I102" i="1"/>
  <c r="G102" i="1"/>
  <c r="E102" i="1"/>
  <c r="H102" i="1" s="1"/>
  <c r="D102" i="1"/>
  <c r="I101" i="1"/>
  <c r="H101" i="1"/>
  <c r="J101" i="1" s="1"/>
  <c r="G101" i="1"/>
  <c r="E101" i="1"/>
  <c r="D101" i="1"/>
  <c r="I100" i="1"/>
  <c r="H100" i="1"/>
  <c r="J100" i="1" s="1"/>
  <c r="G100" i="1"/>
  <c r="E100" i="1"/>
  <c r="D100" i="1"/>
  <c r="I99" i="1"/>
  <c r="E99" i="1"/>
  <c r="H99" i="1" s="1"/>
  <c r="J99" i="1" s="1"/>
  <c r="D99" i="1"/>
  <c r="F98" i="1"/>
  <c r="E98" i="1"/>
  <c r="G98" i="1" s="1"/>
  <c r="C98" i="1"/>
  <c r="I98" i="1" s="1"/>
  <c r="B98" i="1"/>
  <c r="F97" i="1"/>
  <c r="E97" i="1"/>
  <c r="D97" i="1"/>
  <c r="C97" i="1"/>
  <c r="B97" i="1"/>
  <c r="F96" i="1"/>
  <c r="E96" i="1"/>
  <c r="D96" i="1"/>
  <c r="C96" i="1"/>
  <c r="B96" i="1"/>
  <c r="I95" i="1"/>
  <c r="H95" i="1"/>
  <c r="J95" i="1" s="1"/>
  <c r="G95" i="1"/>
  <c r="D95" i="1"/>
  <c r="H93" i="1"/>
  <c r="F93" i="1"/>
  <c r="G93" i="1" s="1"/>
  <c r="C93" i="1"/>
  <c r="F92" i="1"/>
  <c r="E92" i="1"/>
  <c r="G92" i="1" s="1"/>
  <c r="C92" i="1"/>
  <c r="I92" i="1" s="1"/>
  <c r="B92" i="1"/>
  <c r="F91" i="1"/>
  <c r="E91" i="1"/>
  <c r="G91" i="1" s="1"/>
  <c r="B91" i="1"/>
  <c r="H90" i="1"/>
  <c r="F90" i="1"/>
  <c r="G90" i="1" s="1"/>
  <c r="C90" i="1"/>
  <c r="H89" i="1"/>
  <c r="F89" i="1"/>
  <c r="G89" i="1" s="1"/>
  <c r="D89" i="1"/>
  <c r="C89" i="1"/>
  <c r="I89" i="1" s="1"/>
  <c r="J89" i="1" s="1"/>
  <c r="H88" i="1"/>
  <c r="G88" i="1"/>
  <c r="F88" i="1"/>
  <c r="D88" i="1"/>
  <c r="C88" i="1"/>
  <c r="I88" i="1" s="1"/>
  <c r="J88" i="1" s="1"/>
  <c r="J87" i="1"/>
  <c r="I87" i="1"/>
  <c r="H87" i="1"/>
  <c r="G87" i="1"/>
  <c r="D87" i="1"/>
  <c r="I86" i="1"/>
  <c r="H86" i="1"/>
  <c r="J86" i="1" s="1"/>
  <c r="F86" i="1"/>
  <c r="G86" i="1" s="1"/>
  <c r="E86" i="1"/>
  <c r="C86" i="1"/>
  <c r="D86" i="1" s="1"/>
  <c r="B86" i="1"/>
  <c r="I85" i="1"/>
  <c r="H85" i="1"/>
  <c r="J85" i="1" s="1"/>
  <c r="G85" i="1"/>
  <c r="F85" i="1"/>
  <c r="E85" i="1"/>
  <c r="C85" i="1"/>
  <c r="B85" i="1"/>
  <c r="D85" i="1" s="1"/>
  <c r="I84" i="1"/>
  <c r="H84" i="1"/>
  <c r="J84" i="1" s="1"/>
  <c r="G84" i="1"/>
  <c r="F84" i="1"/>
  <c r="E84" i="1"/>
  <c r="C84" i="1"/>
  <c r="B84" i="1"/>
  <c r="D84" i="1" s="1"/>
  <c r="I83" i="1"/>
  <c r="J83" i="1" s="1"/>
  <c r="F83" i="1"/>
  <c r="G83" i="1" s="1"/>
  <c r="E83" i="1"/>
  <c r="D83" i="1"/>
  <c r="C83" i="1"/>
  <c r="B83" i="1"/>
  <c r="H83" i="1" s="1"/>
  <c r="F82" i="1"/>
  <c r="F94" i="1" s="1"/>
  <c r="E82" i="1"/>
  <c r="G82" i="1" s="1"/>
  <c r="D82" i="1"/>
  <c r="C82" i="1"/>
  <c r="I82" i="1" s="1"/>
  <c r="B82" i="1"/>
  <c r="B94" i="1" s="1"/>
  <c r="J81" i="1"/>
  <c r="I81" i="1"/>
  <c r="H81" i="1"/>
  <c r="G81" i="1"/>
  <c r="D81" i="1"/>
  <c r="H80" i="1"/>
  <c r="E80" i="1"/>
  <c r="B80" i="1"/>
  <c r="I79" i="1"/>
  <c r="J79" i="1" s="1"/>
  <c r="H79" i="1"/>
  <c r="F79" i="1"/>
  <c r="G79" i="1" s="1"/>
  <c r="C79" i="1"/>
  <c r="D79" i="1" s="1"/>
  <c r="I78" i="1"/>
  <c r="H78" i="1"/>
  <c r="J78" i="1" s="1"/>
  <c r="G78" i="1"/>
  <c r="F78" i="1"/>
  <c r="C78" i="1"/>
  <c r="B78" i="1"/>
  <c r="D78" i="1" s="1"/>
  <c r="J77" i="1"/>
  <c r="I77" i="1"/>
  <c r="H77" i="1"/>
  <c r="G77" i="1"/>
  <c r="F77" i="1"/>
  <c r="F80" i="1" s="1"/>
  <c r="G80" i="1" s="1"/>
  <c r="D77" i="1"/>
  <c r="C77" i="1"/>
  <c r="I76" i="1"/>
  <c r="H76" i="1"/>
  <c r="J76" i="1" s="1"/>
  <c r="G76" i="1"/>
  <c r="D76" i="1"/>
  <c r="E75" i="1"/>
  <c r="H74" i="1"/>
  <c r="F74" i="1"/>
  <c r="E74" i="1"/>
  <c r="G74" i="1" s="1"/>
  <c r="D74" i="1"/>
  <c r="C74" i="1"/>
  <c r="I74" i="1" s="1"/>
  <c r="H73" i="1"/>
  <c r="F73" i="1"/>
  <c r="G73" i="1" s="1"/>
  <c r="D73" i="1"/>
  <c r="C73" i="1"/>
  <c r="H72" i="1"/>
  <c r="F72" i="1"/>
  <c r="G72" i="1" s="1"/>
  <c r="D72" i="1"/>
  <c r="C72" i="1"/>
  <c r="F71" i="1"/>
  <c r="E71" i="1"/>
  <c r="C71" i="1"/>
  <c r="B71" i="1"/>
  <c r="I70" i="1"/>
  <c r="H70" i="1"/>
  <c r="J70" i="1" s="1"/>
  <c r="G70" i="1"/>
  <c r="D70" i="1"/>
  <c r="H69" i="1"/>
  <c r="E69" i="1"/>
  <c r="B69" i="1"/>
  <c r="H68" i="1"/>
  <c r="G68" i="1"/>
  <c r="F68" i="1"/>
  <c r="D68" i="1"/>
  <c r="C68" i="1"/>
  <c r="I68" i="1" s="1"/>
  <c r="J68" i="1" s="1"/>
  <c r="H67" i="1"/>
  <c r="F67" i="1"/>
  <c r="G67" i="1" s="1"/>
  <c r="C67" i="1"/>
  <c r="D67" i="1" s="1"/>
  <c r="I66" i="1"/>
  <c r="J66" i="1" s="1"/>
  <c r="H66" i="1"/>
  <c r="G66" i="1"/>
  <c r="F66" i="1"/>
  <c r="D66" i="1"/>
  <c r="C66" i="1"/>
  <c r="I65" i="1"/>
  <c r="H65" i="1"/>
  <c r="J65" i="1" s="1"/>
  <c r="F65" i="1"/>
  <c r="G65" i="1" s="1"/>
  <c r="C65" i="1"/>
  <c r="D65" i="1" s="1"/>
  <c r="H64" i="1"/>
  <c r="F64" i="1"/>
  <c r="D64" i="1"/>
  <c r="C64" i="1"/>
  <c r="H63" i="1"/>
  <c r="G63" i="1"/>
  <c r="F63" i="1"/>
  <c r="C63" i="1"/>
  <c r="I63" i="1" s="1"/>
  <c r="H62" i="1"/>
  <c r="J62" i="1" s="1"/>
  <c r="G62" i="1"/>
  <c r="F62" i="1"/>
  <c r="D62" i="1"/>
  <c r="C62" i="1"/>
  <c r="I62" i="1" s="1"/>
  <c r="H61" i="1"/>
  <c r="F61" i="1"/>
  <c r="G61" i="1" s="1"/>
  <c r="C61" i="1"/>
  <c r="I61" i="1" s="1"/>
  <c r="J61" i="1" s="1"/>
  <c r="H60" i="1"/>
  <c r="G60" i="1"/>
  <c r="F60" i="1"/>
  <c r="C60" i="1"/>
  <c r="J59" i="1"/>
  <c r="I59" i="1"/>
  <c r="H59" i="1"/>
  <c r="F59" i="1"/>
  <c r="G59" i="1" s="1"/>
  <c r="C59" i="1"/>
  <c r="D59" i="1" s="1"/>
  <c r="I58" i="1"/>
  <c r="H58" i="1"/>
  <c r="J58" i="1" s="1"/>
  <c r="G58" i="1"/>
  <c r="F58" i="1"/>
  <c r="D58" i="1"/>
  <c r="C58" i="1"/>
  <c r="H57" i="1"/>
  <c r="J57" i="1" s="1"/>
  <c r="F57" i="1"/>
  <c r="I57" i="1" s="1"/>
  <c r="C57" i="1"/>
  <c r="D57" i="1" s="1"/>
  <c r="I56" i="1"/>
  <c r="H56" i="1"/>
  <c r="F56" i="1"/>
  <c r="G56" i="1" s="1"/>
  <c r="D56" i="1"/>
  <c r="C56" i="1"/>
  <c r="H55" i="1"/>
  <c r="F55" i="1"/>
  <c r="G55" i="1" s="1"/>
  <c r="D55" i="1"/>
  <c r="C55" i="1"/>
  <c r="H54" i="1"/>
  <c r="F54" i="1"/>
  <c r="D54" i="1"/>
  <c r="C54" i="1"/>
  <c r="J53" i="1"/>
  <c r="I53" i="1"/>
  <c r="H53" i="1"/>
  <c r="G53" i="1"/>
  <c r="D53" i="1"/>
  <c r="C52" i="1"/>
  <c r="B52" i="1"/>
  <c r="I51" i="1"/>
  <c r="H51" i="1"/>
  <c r="J51" i="1" s="1"/>
  <c r="F51" i="1"/>
  <c r="G51" i="1" s="1"/>
  <c r="C51" i="1"/>
  <c r="D51" i="1" s="1"/>
  <c r="J50" i="1"/>
  <c r="I50" i="1"/>
  <c r="H50" i="1"/>
  <c r="G50" i="1"/>
  <c r="F50" i="1"/>
  <c r="D50" i="1"/>
  <c r="C50" i="1"/>
  <c r="I49" i="1"/>
  <c r="H49" i="1"/>
  <c r="J49" i="1" s="1"/>
  <c r="F49" i="1"/>
  <c r="G49" i="1" s="1"/>
  <c r="C49" i="1"/>
  <c r="D49" i="1" s="1"/>
  <c r="I48" i="1"/>
  <c r="H48" i="1"/>
  <c r="J48" i="1" s="1"/>
  <c r="F48" i="1"/>
  <c r="G48" i="1" s="1"/>
  <c r="D48" i="1"/>
  <c r="C48" i="1"/>
  <c r="F47" i="1"/>
  <c r="E47" i="1"/>
  <c r="D47" i="1"/>
  <c r="C47" i="1"/>
  <c r="F46" i="1"/>
  <c r="E46" i="1"/>
  <c r="D46" i="1"/>
  <c r="C46" i="1"/>
  <c r="I46" i="1" s="1"/>
  <c r="B46" i="1"/>
  <c r="I45" i="1"/>
  <c r="H45" i="1"/>
  <c r="G45" i="1"/>
  <c r="D45" i="1"/>
  <c r="E44" i="1"/>
  <c r="C44" i="1"/>
  <c r="H43" i="1"/>
  <c r="F43" i="1"/>
  <c r="G43" i="1" s="1"/>
  <c r="C43" i="1"/>
  <c r="I43" i="1" s="1"/>
  <c r="F42" i="1"/>
  <c r="E42" i="1"/>
  <c r="C42" i="1"/>
  <c r="B42" i="1"/>
  <c r="H41" i="1"/>
  <c r="J41" i="1" s="1"/>
  <c r="G41" i="1"/>
  <c r="F41" i="1"/>
  <c r="D41" i="1"/>
  <c r="C41" i="1"/>
  <c r="I41" i="1" s="1"/>
  <c r="H40" i="1"/>
  <c r="F40" i="1"/>
  <c r="G40" i="1" s="1"/>
  <c r="D40" i="1"/>
  <c r="C40" i="1"/>
  <c r="F39" i="1"/>
  <c r="E39" i="1"/>
  <c r="G39" i="1" s="1"/>
  <c r="C39" i="1"/>
  <c r="I39" i="1" s="1"/>
  <c r="B39" i="1"/>
  <c r="F38" i="1"/>
  <c r="E38" i="1"/>
  <c r="G38" i="1" s="1"/>
  <c r="C38" i="1"/>
  <c r="B38" i="1"/>
  <c r="F37" i="1"/>
  <c r="E37" i="1"/>
  <c r="G37" i="1" s="1"/>
  <c r="C37" i="1"/>
  <c r="B37" i="1"/>
  <c r="F36" i="1"/>
  <c r="E36" i="1"/>
  <c r="D36" i="1"/>
  <c r="C36" i="1"/>
  <c r="B36" i="1"/>
  <c r="I35" i="1"/>
  <c r="H35" i="1"/>
  <c r="G35" i="1"/>
  <c r="D35" i="1"/>
  <c r="H33" i="1"/>
  <c r="F33" i="1"/>
  <c r="G33" i="1" s="1"/>
  <c r="D33" i="1"/>
  <c r="C33" i="1"/>
  <c r="H32" i="1"/>
  <c r="F32" i="1"/>
  <c r="G32" i="1" s="1"/>
  <c r="C32" i="1"/>
  <c r="I31" i="1"/>
  <c r="F31" i="1"/>
  <c r="E31" i="1"/>
  <c r="G31" i="1" s="1"/>
  <c r="C31" i="1"/>
  <c r="B31" i="1"/>
  <c r="F30" i="1"/>
  <c r="E30" i="1"/>
  <c r="G30" i="1" s="1"/>
  <c r="C30" i="1"/>
  <c r="I30" i="1" s="1"/>
  <c r="B30" i="1"/>
  <c r="B34" i="1" s="1"/>
  <c r="F29" i="1"/>
  <c r="E29" i="1"/>
  <c r="C29" i="1"/>
  <c r="I29" i="1" s="1"/>
  <c r="F28" i="1"/>
  <c r="F34" i="1" s="1"/>
  <c r="E28" i="1"/>
  <c r="G28" i="1" s="1"/>
  <c r="C28" i="1"/>
  <c r="B28" i="1"/>
  <c r="H28" i="1" s="1"/>
  <c r="H27" i="1"/>
  <c r="F27" i="1"/>
  <c r="E27" i="1"/>
  <c r="D27" i="1"/>
  <c r="C27" i="1"/>
  <c r="B27" i="1"/>
  <c r="I26" i="1"/>
  <c r="H26" i="1"/>
  <c r="G26" i="1"/>
  <c r="D26" i="1"/>
  <c r="E21" i="1"/>
  <c r="I20" i="1"/>
  <c r="J20" i="1" s="1"/>
  <c r="H20" i="1"/>
  <c r="G20" i="1"/>
  <c r="F20" i="1"/>
  <c r="C20" i="1"/>
  <c r="D20" i="1" s="1"/>
  <c r="H19" i="1"/>
  <c r="F19" i="1"/>
  <c r="I19" i="1" s="1"/>
  <c r="E19" i="1"/>
  <c r="C19" i="1"/>
  <c r="C21" i="1" s="1"/>
  <c r="B19" i="1"/>
  <c r="D19" i="1" s="1"/>
  <c r="H18" i="1"/>
  <c r="F18" i="1"/>
  <c r="E18" i="1"/>
  <c r="C18" i="1"/>
  <c r="B18" i="1"/>
  <c r="I17" i="1"/>
  <c r="H17" i="1"/>
  <c r="J17" i="1" s="1"/>
  <c r="G17" i="1"/>
  <c r="D17" i="1"/>
  <c r="I15" i="1"/>
  <c r="H15" i="1"/>
  <c r="J15" i="1" s="1"/>
  <c r="G15" i="1"/>
  <c r="F15" i="1"/>
  <c r="D15" i="1"/>
  <c r="C15" i="1"/>
  <c r="F14" i="1"/>
  <c r="F16" i="1" s="1"/>
  <c r="E14" i="1"/>
  <c r="D14" i="1"/>
  <c r="C14" i="1"/>
  <c r="C16" i="1" s="1"/>
  <c r="B14" i="1"/>
  <c r="B16" i="1" s="1"/>
  <c r="I13" i="1"/>
  <c r="H13" i="1"/>
  <c r="G13" i="1"/>
  <c r="D13" i="1"/>
  <c r="C12" i="1"/>
  <c r="F11" i="1"/>
  <c r="E11" i="1"/>
  <c r="D11" i="1"/>
  <c r="C11" i="1"/>
  <c r="B11" i="1"/>
  <c r="F10" i="1"/>
  <c r="F12" i="1" s="1"/>
  <c r="E10" i="1"/>
  <c r="D10" i="1"/>
  <c r="C10" i="1"/>
  <c r="B10" i="1"/>
  <c r="I9" i="1"/>
  <c r="H9" i="1"/>
  <c r="G9" i="1"/>
  <c r="D9" i="1"/>
  <c r="J8" i="1"/>
  <c r="I8" i="1"/>
  <c r="H8" i="1"/>
  <c r="G8" i="1"/>
  <c r="D8" i="1"/>
  <c r="F22" i="1" l="1"/>
  <c r="F23" i="1" s="1"/>
  <c r="F24" i="1" s="1"/>
  <c r="J28" i="1"/>
  <c r="H42" i="1"/>
  <c r="D42" i="1"/>
  <c r="F69" i="1"/>
  <c r="G69" i="1" s="1"/>
  <c r="G54" i="1"/>
  <c r="I90" i="1"/>
  <c r="D90" i="1"/>
  <c r="G96" i="1"/>
  <c r="I60" i="1"/>
  <c r="J60" i="1" s="1"/>
  <c r="D60" i="1"/>
  <c r="B75" i="1"/>
  <c r="H71" i="1"/>
  <c r="D71" i="1"/>
  <c r="D107" i="1"/>
  <c r="G19" i="1"/>
  <c r="E52" i="1"/>
  <c r="H46" i="1"/>
  <c r="J46" i="1" s="1"/>
  <c r="G46" i="1"/>
  <c r="H94" i="1"/>
  <c r="G14" i="1"/>
  <c r="E16" i="1"/>
  <c r="G16" i="1" s="1"/>
  <c r="H14" i="1"/>
  <c r="J19" i="1"/>
  <c r="E34" i="1"/>
  <c r="F75" i="1"/>
  <c r="G75" i="1" s="1"/>
  <c r="I93" i="1"/>
  <c r="J93" i="1" s="1"/>
  <c r="D93" i="1"/>
  <c r="H112" i="1"/>
  <c r="B113" i="1"/>
  <c r="D112" i="1"/>
  <c r="I121" i="1"/>
  <c r="H16" i="1"/>
  <c r="D16" i="1"/>
  <c r="E12" i="1"/>
  <c r="G10" i="1"/>
  <c r="H39" i="1"/>
  <c r="J39" i="1" s="1"/>
  <c r="D39" i="1"/>
  <c r="G21" i="1"/>
  <c r="I32" i="1"/>
  <c r="J32" i="1" s="1"/>
  <c r="D32" i="1"/>
  <c r="H11" i="1"/>
  <c r="F21" i="1"/>
  <c r="I21" i="1" s="1"/>
  <c r="I18" i="1"/>
  <c r="J18" i="1" s="1"/>
  <c r="G18" i="1"/>
  <c r="D29" i="1"/>
  <c r="D43" i="1"/>
  <c r="J55" i="1"/>
  <c r="G57" i="1"/>
  <c r="G64" i="1"/>
  <c r="I64" i="1"/>
  <c r="G99" i="1"/>
  <c r="I112" i="1"/>
  <c r="C113" i="1"/>
  <c r="I113" i="1" s="1"/>
  <c r="I124" i="1"/>
  <c r="J124" i="1" s="1"/>
  <c r="C125" i="1"/>
  <c r="I125" i="1" s="1"/>
  <c r="D124" i="1"/>
  <c r="F44" i="1"/>
  <c r="F126" i="1" s="1"/>
  <c r="D121" i="1"/>
  <c r="H121" i="1"/>
  <c r="G27" i="1"/>
  <c r="H29" i="1"/>
  <c r="J29" i="1" s="1"/>
  <c r="G29" i="1"/>
  <c r="H36" i="1"/>
  <c r="J36" i="1" s="1"/>
  <c r="G36" i="1"/>
  <c r="I37" i="1"/>
  <c r="D37" i="1"/>
  <c r="B12" i="1"/>
  <c r="H10" i="1"/>
  <c r="G11" i="1"/>
  <c r="J26" i="1"/>
  <c r="I40" i="1"/>
  <c r="J40" i="1" s="1"/>
  <c r="G47" i="1"/>
  <c r="H47" i="1"/>
  <c r="D61" i="1"/>
  <c r="E94" i="1"/>
  <c r="G94" i="1" s="1"/>
  <c r="H98" i="1"/>
  <c r="J98" i="1" s="1"/>
  <c r="B116" i="1"/>
  <c r="D98" i="1"/>
  <c r="H120" i="1"/>
  <c r="J120" i="1" s="1"/>
  <c r="D120" i="1"/>
  <c r="H109" i="1"/>
  <c r="I28" i="1"/>
  <c r="J33" i="1"/>
  <c r="I42" i="1"/>
  <c r="D63" i="1"/>
  <c r="D80" i="1"/>
  <c r="H92" i="1"/>
  <c r="J92" i="1" s="1"/>
  <c r="F109" i="1"/>
  <c r="F116" i="1" s="1"/>
  <c r="I106" i="1"/>
  <c r="C109" i="1"/>
  <c r="I109" i="1" s="1"/>
  <c r="H111" i="1"/>
  <c r="J9" i="1"/>
  <c r="J13" i="1"/>
  <c r="I27" i="1"/>
  <c r="J27" i="1" s="1"/>
  <c r="D28" i="1"/>
  <c r="J35" i="1"/>
  <c r="I38" i="1"/>
  <c r="J43" i="1"/>
  <c r="D52" i="1"/>
  <c r="I55" i="1"/>
  <c r="G71" i="1"/>
  <c r="I73" i="1"/>
  <c r="J73" i="1" s="1"/>
  <c r="C80" i="1"/>
  <c r="I80" i="1" s="1"/>
  <c r="J80" i="1" s="1"/>
  <c r="H97" i="1"/>
  <c r="G104" i="1"/>
  <c r="D106" i="1"/>
  <c r="D109" i="1"/>
  <c r="I111" i="1"/>
  <c r="D119" i="1"/>
  <c r="D123" i="1"/>
  <c r="C75" i="1"/>
  <c r="I71" i="1"/>
  <c r="J106" i="1"/>
  <c r="H31" i="1"/>
  <c r="J31" i="1" s="1"/>
  <c r="H38" i="1"/>
  <c r="J38" i="1" s="1"/>
  <c r="F52" i="1"/>
  <c r="I52" i="1" s="1"/>
  <c r="J54" i="1"/>
  <c r="J64" i="1"/>
  <c r="C22" i="1"/>
  <c r="I12" i="1"/>
  <c r="D18" i="1"/>
  <c r="B21" i="1"/>
  <c r="H30" i="1"/>
  <c r="J30" i="1" s="1"/>
  <c r="D31" i="1"/>
  <c r="C34" i="1"/>
  <c r="H37" i="1"/>
  <c r="D38" i="1"/>
  <c r="G42" i="1"/>
  <c r="B44" i="1"/>
  <c r="J45" i="1"/>
  <c r="J56" i="1"/>
  <c r="I67" i="1"/>
  <c r="J67" i="1" s="1"/>
  <c r="J90" i="1"/>
  <c r="D92" i="1"/>
  <c r="I97" i="1"/>
  <c r="I105" i="1"/>
  <c r="G106" i="1"/>
  <c r="H125" i="1"/>
  <c r="J125" i="1" s="1"/>
  <c r="I47" i="1"/>
  <c r="J63" i="1"/>
  <c r="J74" i="1"/>
  <c r="H82" i="1"/>
  <c r="J82" i="1" s="1"/>
  <c r="H91" i="1"/>
  <c r="H96" i="1"/>
  <c r="E113" i="1"/>
  <c r="G113" i="1" s="1"/>
  <c r="G111" i="1"/>
  <c r="I10" i="1"/>
  <c r="I11" i="1"/>
  <c r="I16" i="1"/>
  <c r="D30" i="1"/>
  <c r="I33" i="1"/>
  <c r="I36" i="1"/>
  <c r="I54" i="1"/>
  <c r="C69" i="1"/>
  <c r="I72" i="1"/>
  <c r="J72" i="1" s="1"/>
  <c r="C91" i="1"/>
  <c r="I96" i="1"/>
  <c r="G97" i="1"/>
  <c r="H104" i="1"/>
  <c r="J104" i="1" s="1"/>
  <c r="J105" i="1"/>
  <c r="H107" i="1"/>
  <c r="J107" i="1" s="1"/>
  <c r="H108" i="1"/>
  <c r="J108" i="1" s="1"/>
  <c r="G108" i="1"/>
  <c r="H115" i="1"/>
  <c r="J115" i="1" s="1"/>
  <c r="J123" i="1"/>
  <c r="I14" i="1"/>
  <c r="I34" i="1" l="1"/>
  <c r="G44" i="1"/>
  <c r="I69" i="1"/>
  <c r="J69" i="1" s="1"/>
  <c r="D69" i="1"/>
  <c r="H52" i="1"/>
  <c r="J52" i="1" s="1"/>
  <c r="G52" i="1"/>
  <c r="D21" i="1"/>
  <c r="H21" i="1"/>
  <c r="J21" i="1" s="1"/>
  <c r="J111" i="1"/>
  <c r="H113" i="1"/>
  <c r="J113" i="1" s="1"/>
  <c r="D113" i="1"/>
  <c r="J14" i="1"/>
  <c r="E116" i="1"/>
  <c r="G116" i="1" s="1"/>
  <c r="F127" i="1"/>
  <c r="F128" i="1" s="1"/>
  <c r="C116" i="1"/>
  <c r="I116" i="1" s="1"/>
  <c r="J96" i="1"/>
  <c r="G109" i="1"/>
  <c r="J109" i="1"/>
  <c r="J10" i="1"/>
  <c r="J112" i="1"/>
  <c r="J16" i="1"/>
  <c r="H75" i="1"/>
  <c r="J75" i="1" s="1"/>
  <c r="D75" i="1"/>
  <c r="I44" i="1"/>
  <c r="G34" i="1"/>
  <c r="J42" i="1"/>
  <c r="H44" i="1"/>
  <c r="J44" i="1" s="1"/>
  <c r="D44" i="1"/>
  <c r="J97" i="1"/>
  <c r="J11" i="1"/>
  <c r="D34" i="1"/>
  <c r="I91" i="1"/>
  <c r="J91" i="1" s="1"/>
  <c r="C94" i="1"/>
  <c r="D91" i="1"/>
  <c r="I22" i="1"/>
  <c r="C23" i="1"/>
  <c r="H12" i="1"/>
  <c r="J12" i="1" s="1"/>
  <c r="B22" i="1"/>
  <c r="D12" i="1"/>
  <c r="B126" i="1"/>
  <c r="G12" i="1"/>
  <c r="E22" i="1"/>
  <c r="D125" i="1"/>
  <c r="J37" i="1"/>
  <c r="I75" i="1"/>
  <c r="J47" i="1"/>
  <c r="J121" i="1"/>
  <c r="H34" i="1"/>
  <c r="J34" i="1" s="1"/>
  <c r="J71" i="1"/>
  <c r="H126" i="1" l="1"/>
  <c r="J126" i="1" s="1"/>
  <c r="D126" i="1"/>
  <c r="B23" i="1"/>
  <c r="D22" i="1"/>
  <c r="H22" i="1"/>
  <c r="J22" i="1" s="1"/>
  <c r="I94" i="1"/>
  <c r="J94" i="1" s="1"/>
  <c r="D94" i="1"/>
  <c r="H116" i="1"/>
  <c r="J116" i="1" s="1"/>
  <c r="G22" i="1"/>
  <c r="E23" i="1"/>
  <c r="D116" i="1"/>
  <c r="I23" i="1"/>
  <c r="C24" i="1"/>
  <c r="E126" i="1"/>
  <c r="G126" i="1" s="1"/>
  <c r="C126" i="1"/>
  <c r="I126" i="1" s="1"/>
  <c r="E24" i="1" l="1"/>
  <c r="G23" i="1"/>
  <c r="I24" i="1"/>
  <c r="C127" i="1"/>
  <c r="H23" i="1"/>
  <c r="J23" i="1" s="1"/>
  <c r="D23" i="1"/>
  <c r="B24" i="1"/>
  <c r="C128" i="1" l="1"/>
  <c r="I128" i="1" s="1"/>
  <c r="I127" i="1"/>
  <c r="H24" i="1"/>
  <c r="J24" i="1" s="1"/>
  <c r="B127" i="1"/>
  <c r="D24" i="1"/>
  <c r="E127" i="1"/>
  <c r="G24" i="1"/>
  <c r="G127" i="1" l="1"/>
  <c r="E128" i="1"/>
  <c r="G128" i="1" s="1"/>
  <c r="D127" i="1"/>
  <c r="B128" i="1"/>
  <c r="H127" i="1"/>
  <c r="J127" i="1" s="1"/>
  <c r="D128" i="1" l="1"/>
  <c r="H128" i="1"/>
  <c r="J128" i="1" s="1"/>
</calcChain>
</file>

<file path=xl/sharedStrings.xml><?xml version="1.0" encoding="utf-8"?>
<sst xmlns="http://schemas.openxmlformats.org/spreadsheetml/2006/main" count="138" uniqueCount="132">
  <si>
    <t>Jan 2025</t>
  </si>
  <si>
    <t>Feb 2025</t>
  </si>
  <si>
    <t>Total</t>
  </si>
  <si>
    <t>Actual</t>
  </si>
  <si>
    <t>Budget</t>
  </si>
  <si>
    <t>over Budget</t>
  </si>
  <si>
    <t>Revenue</t>
  </si>
  <si>
    <t xml:space="preserve">   4000 Income</t>
  </si>
  <si>
    <t xml:space="preserve">      4100 Offerings</t>
  </si>
  <si>
    <t xml:space="preserve">         4110 Regular/Pledged</t>
  </si>
  <si>
    <t xml:space="preserve">         4120 Plate</t>
  </si>
  <si>
    <t xml:space="preserve">      Total 4100 Offerings</t>
  </si>
  <si>
    <t xml:space="preserve">      4200 Good Shepherd Day Care</t>
  </si>
  <si>
    <t xml:space="preserve">         4210 Expenses Reimbursement</t>
  </si>
  <si>
    <t xml:space="preserve">         4220 Special Payment</t>
  </si>
  <si>
    <t xml:space="preserve">      Total 4200 Good Shepherd Day Care</t>
  </si>
  <si>
    <t xml:space="preserve">      4300 Other Income</t>
  </si>
  <si>
    <t xml:space="preserve">         4310 Building Use</t>
  </si>
  <si>
    <t xml:space="preserve">         4320 Solar TREC</t>
  </si>
  <si>
    <t xml:space="preserve">         4330 Trfr - Weidner Endowment</t>
  </si>
  <si>
    <t xml:space="preserve">      Total 4300 Other Income</t>
  </si>
  <si>
    <t xml:space="preserve">   Total 4000 Income</t>
  </si>
  <si>
    <t>Total Revenue</t>
  </si>
  <si>
    <t>Gross Profit</t>
  </si>
  <si>
    <t>Expenditures</t>
  </si>
  <si>
    <t xml:space="preserve">   5100 Pastoral Ministry</t>
  </si>
  <si>
    <t xml:space="preserve">      5110 Pastor Compensation</t>
  </si>
  <si>
    <t xml:space="preserve">      5111 Pastor Benefits</t>
  </si>
  <si>
    <t xml:space="preserve">      5112 Pastor Professional Expense</t>
  </si>
  <si>
    <t xml:space="preserve">      5120 Deacon Compensation</t>
  </si>
  <si>
    <t xml:space="preserve">      5121 Deacon Social Security</t>
  </si>
  <si>
    <t xml:space="preserve">      5122 Deacon Professional Expense</t>
  </si>
  <si>
    <t xml:space="preserve">      5170 Guest Preacher</t>
  </si>
  <si>
    <t xml:space="preserve">   Total 5100 Pastoral Ministry</t>
  </si>
  <si>
    <t xml:space="preserve">   5200 Worship</t>
  </si>
  <si>
    <t xml:space="preserve">      5210 Music Director Compensation</t>
  </si>
  <si>
    <t xml:space="preserve">      5211 Music Director Social Security</t>
  </si>
  <si>
    <t xml:space="preserve">      5215 Sunday Morn Assist Compensation</t>
  </si>
  <si>
    <t xml:space="preserve">      5216 Sunday Morn Assist Social Security</t>
  </si>
  <si>
    <t xml:space="preserve">      5220 Other Musician Compensation</t>
  </si>
  <si>
    <t xml:space="preserve">      5221 Other Musician Social Security</t>
  </si>
  <si>
    <t xml:space="preserve">      5230 Music &amp; Supplies</t>
  </si>
  <si>
    <t xml:space="preserve">      5240 Music Equipment Maintenance</t>
  </si>
  <si>
    <t xml:space="preserve">   Total 5200 Worship</t>
  </si>
  <si>
    <t xml:space="preserve">   5300 Benevolence</t>
  </si>
  <si>
    <t xml:space="preserve">      5310 Synod Mission Support</t>
  </si>
  <si>
    <t xml:space="preserve">      5320 Crossroads Camp &amp; Retreat</t>
  </si>
  <si>
    <t xml:space="preserve">      5330 Lutheran Social Ministries</t>
  </si>
  <si>
    <t xml:space="preserve">      5335 ELCA World Hunger</t>
  </si>
  <si>
    <t xml:space="preserve">      5340 Lutheran Disaster Response</t>
  </si>
  <si>
    <t xml:space="preserve">      5345 Global Refuge</t>
  </si>
  <si>
    <t xml:space="preserve">   Total 5300 Benevolence</t>
  </si>
  <si>
    <t xml:space="preserve">   5400 Community Social Ministry</t>
  </si>
  <si>
    <t xml:space="preserve">      5410 General Giving Funding</t>
  </si>
  <si>
    <t xml:space="preserve">      5411 Middle Earth</t>
  </si>
  <si>
    <t xml:space="preserve">      5413 Visions and Pathways</t>
  </si>
  <si>
    <t xml:space="preserve">      5414 Food Bank</t>
  </si>
  <si>
    <t xml:space="preserve">      5415 S.H.I.P</t>
  </si>
  <si>
    <t xml:space="preserve">      5416 Giving Network</t>
  </si>
  <si>
    <t xml:space="preserve">      5417 Safe and Sound Somerset</t>
  </si>
  <si>
    <t xml:space="preserve">      5418 Somerville Rescue Squad</t>
  </si>
  <si>
    <t xml:space="preserve">      5419 Somerville Fire Department</t>
  </si>
  <si>
    <t xml:space="preserve">      5420 FISH</t>
  </si>
  <si>
    <t xml:space="preserve">      5421 HOME of Somerset County</t>
  </si>
  <si>
    <t xml:space="preserve">      5422 Habitat for Humanity</t>
  </si>
  <si>
    <t xml:space="preserve">      5423 Weekend Food Packs</t>
  </si>
  <si>
    <t xml:space="preserve">      5424 GSLC Food Pantry</t>
  </si>
  <si>
    <t xml:space="preserve">      5425 Weidner Endowment Program</t>
  </si>
  <si>
    <t xml:space="preserve">   Total 5400 Community Social Ministry</t>
  </si>
  <si>
    <t xml:space="preserve">   5500 Church Family Ministry</t>
  </si>
  <si>
    <t xml:space="preserve">      5510 Education Funding</t>
  </si>
  <si>
    <t xml:space="preserve">      5520 Young Adults</t>
  </si>
  <si>
    <t xml:space="preserve">      5530 ELCA National Youth Gathering</t>
  </si>
  <si>
    <t xml:space="preserve">      5540 Hospitality</t>
  </si>
  <si>
    <t xml:space="preserve">   Total 5500 Church Family Ministry</t>
  </si>
  <si>
    <t xml:space="preserve">   5600 Witness/Evangelism</t>
  </si>
  <si>
    <t xml:space="preserve">      5610 Caring Funding</t>
  </si>
  <si>
    <t xml:space="preserve">      5620 Publicity &amp; Advertising</t>
  </si>
  <si>
    <t xml:space="preserve">      5630 Living Nativity</t>
  </si>
  <si>
    <t xml:space="preserve">   Total 5600 Witness/Evangelism</t>
  </si>
  <si>
    <t xml:space="preserve">   5700 Administration</t>
  </si>
  <si>
    <t xml:space="preserve">      5715 Office Administrator Compensation</t>
  </si>
  <si>
    <t xml:space="preserve">      5716 Office Administrator Social Security</t>
  </si>
  <si>
    <t xml:space="preserve">      5717 Office Administrator Benefits</t>
  </si>
  <si>
    <t xml:space="preserve">      5750 Office Equip Lease, Maintenance</t>
  </si>
  <si>
    <t xml:space="preserve">      5755 Office Supplies</t>
  </si>
  <si>
    <t xml:space="preserve">      5760 Computer</t>
  </si>
  <si>
    <t xml:space="preserve">         5761 Software</t>
  </si>
  <si>
    <t xml:space="preserve">         5762 Hardware</t>
  </si>
  <si>
    <t xml:space="preserve">         5763 Emergency Support</t>
  </si>
  <si>
    <t xml:space="preserve">      Total 5760 Computer</t>
  </si>
  <si>
    <t xml:space="preserve">      5770 Telephones, Internet</t>
  </si>
  <si>
    <t xml:space="preserve">      5780 Postage</t>
  </si>
  <si>
    <t xml:space="preserve">   Total 5700 Administration</t>
  </si>
  <si>
    <t xml:space="preserve">   5800 Property</t>
  </si>
  <si>
    <t xml:space="preserve">      5810 Custodian Compensation AR</t>
  </si>
  <si>
    <t xml:space="preserve">      5811 Custodian Social Security AR</t>
  </si>
  <si>
    <t xml:space="preserve">      5812 Custodian Benefits AR</t>
  </si>
  <si>
    <t xml:space="preserve">      5815 Custodial Comp LMB</t>
  </si>
  <si>
    <t xml:space="preserve">      5816 Custodial Soc Sec LMB</t>
  </si>
  <si>
    <t xml:space="preserve">      5818 Custodial Assist Comp CFS</t>
  </si>
  <si>
    <t xml:space="preserve">      5819 Custodial Assist Soc Sec CFS</t>
  </si>
  <si>
    <t xml:space="preserve">      5830 Property Contracts</t>
  </si>
  <si>
    <t xml:space="preserve">         5831 Cleaning</t>
  </si>
  <si>
    <t xml:space="preserve">         5832 Lawn Maintenance</t>
  </si>
  <si>
    <t xml:space="preserve">         5833 Snow Removal</t>
  </si>
  <si>
    <t xml:space="preserve">         5834 Exterminator</t>
  </si>
  <si>
    <t xml:space="preserve">         5835 Security</t>
  </si>
  <si>
    <t xml:space="preserve">      Total 5830 Property Contracts</t>
  </si>
  <si>
    <t xml:space="preserve">      5840 Utilities</t>
  </si>
  <si>
    <t xml:space="preserve">         5841 Gas &amp; Electric</t>
  </si>
  <si>
    <t xml:space="preserve">         5842 Water &amp; Sewer</t>
  </si>
  <si>
    <t xml:space="preserve">      Total 5840 Utilities</t>
  </si>
  <si>
    <t xml:space="preserve">      5850 Repairs &amp; Maintenance</t>
  </si>
  <si>
    <t xml:space="preserve">      5860 Janitorial Supplies</t>
  </si>
  <si>
    <t xml:space="preserve">   Total 5800 Property</t>
  </si>
  <si>
    <t xml:space="preserve">   5900 Finance</t>
  </si>
  <si>
    <t xml:space="preserve">      5910 Mortgage Interest</t>
  </si>
  <si>
    <t xml:space="preserve">      5920 Insurance</t>
  </si>
  <si>
    <t xml:space="preserve">      5930 Payroll Expense</t>
  </si>
  <si>
    <t xml:space="preserve">   Total 5900 Finance</t>
  </si>
  <si>
    <t xml:space="preserve">   6000 Stewardship</t>
  </si>
  <si>
    <t xml:space="preserve">      6010 Stewardship Supplies</t>
  </si>
  <si>
    <t xml:space="preserve">      6020 Credit Card Trans Fees</t>
  </si>
  <si>
    <t xml:space="preserve">   Total 6000 Stewardship</t>
  </si>
  <si>
    <t>Total Expenditures</t>
  </si>
  <si>
    <t>Net Operating Revenue</t>
  </si>
  <si>
    <t>Net Revenue</t>
  </si>
  <si>
    <t>Friday, Mar 07, 2025 02:17:25 PM GMT-8 - Accrual Basis</t>
  </si>
  <si>
    <t>Good Shepherd Lutheran Church</t>
  </si>
  <si>
    <t xml:space="preserve">Budget vs. Actuals: Budget_FY25_P&amp;L - FY25 P&amp;L </t>
  </si>
  <si>
    <t>January - February,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</si>
</sst>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6" x14ac:knownFonts="1">
    <font>
      <sz val="11"/>
      <color indexed="8"/>
      <name val="Aptos Narrow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2"/>
  <sheetViews>
    <sheetView tabSelected="1" workbookViewId="0">
      <selection sqref="A1:J1"/>
    </sheetView>
  </sheetViews>
  <sheetFormatPr defaultRowHeight="14.4" x14ac:dyDescent="0.3"/>
  <cols>
    <col min="1" max="1" width="41.21875" customWidth="1"/>
    <col min="2" max="3" width="9.44140625" customWidth="1"/>
    <col min="4" max="6" width="10.33203125" customWidth="1"/>
    <col min="7" max="7" width="8.5546875" customWidth="1"/>
    <col min="8" max="10" width="10.33203125" customWidth="1"/>
  </cols>
  <sheetData>
    <row r="1" spans="1:10" ht="17.399999999999999" x14ac:dyDescent="0.3">
      <c r="A1" s="12" t="s">
        <v>129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7.399999999999999" x14ac:dyDescent="0.3">
      <c r="A2" s="12" t="s">
        <v>130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x14ac:dyDescent="0.3">
      <c r="A3" s="13" t="s">
        <v>131</v>
      </c>
      <c r="B3" s="11"/>
      <c r="C3" s="11"/>
      <c r="D3" s="11"/>
      <c r="E3" s="11"/>
      <c r="F3" s="11"/>
      <c r="G3" s="11"/>
      <c r="H3" s="11"/>
      <c r="I3" s="11"/>
      <c r="J3" s="11"/>
    </row>
    <row r="5" spans="1:10" x14ac:dyDescent="0.3">
      <c r="A5" s="1"/>
      <c r="B5" s="8" t="s">
        <v>0</v>
      </c>
      <c r="C5" s="9"/>
      <c r="D5" s="9"/>
      <c r="E5" s="8" t="s">
        <v>1</v>
      </c>
      <c r="F5" s="9"/>
      <c r="G5" s="9"/>
      <c r="H5" s="8" t="s">
        <v>2</v>
      </c>
      <c r="I5" s="9"/>
      <c r="J5" s="9"/>
    </row>
    <row r="6" spans="1:10" ht="24.6" x14ac:dyDescent="0.3">
      <c r="A6" s="1"/>
      <c r="B6" s="2" t="s">
        <v>3</v>
      </c>
      <c r="C6" s="2" t="s">
        <v>4</v>
      </c>
      <c r="D6" s="2" t="s">
        <v>5</v>
      </c>
      <c r="E6" s="2" t="s">
        <v>3</v>
      </c>
      <c r="F6" s="2" t="s">
        <v>4</v>
      </c>
      <c r="G6" s="2" t="s">
        <v>5</v>
      </c>
      <c r="H6" s="2" t="s">
        <v>3</v>
      </c>
      <c r="I6" s="2" t="s">
        <v>4</v>
      </c>
      <c r="J6" s="2" t="s">
        <v>5</v>
      </c>
    </row>
    <row r="7" spans="1:10" x14ac:dyDescent="0.3">
      <c r="A7" s="3" t="s">
        <v>6</v>
      </c>
      <c r="B7" s="4"/>
      <c r="C7" s="4"/>
      <c r="D7" s="4"/>
      <c r="E7" s="4"/>
      <c r="F7" s="4"/>
      <c r="G7" s="4"/>
      <c r="H7" s="4"/>
      <c r="I7" s="4"/>
      <c r="J7" s="4"/>
    </row>
    <row r="8" spans="1:10" x14ac:dyDescent="0.3">
      <c r="A8" s="3" t="s">
        <v>7</v>
      </c>
      <c r="B8" s="4"/>
      <c r="C8" s="4"/>
      <c r="D8" s="5">
        <f t="shared" ref="D8:D24" si="0">(B8)-(C8)</f>
        <v>0</v>
      </c>
      <c r="E8" s="4"/>
      <c r="F8" s="4"/>
      <c r="G8" s="5">
        <f t="shared" ref="G8:G24" si="1">(E8)-(F8)</f>
        <v>0</v>
      </c>
      <c r="H8" s="5">
        <f t="shared" ref="H8:H24" si="2">(B8)+(E8)</f>
        <v>0</v>
      </c>
      <c r="I8" s="5">
        <f t="shared" ref="I8:I24" si="3">(C8)+(F8)</f>
        <v>0</v>
      </c>
      <c r="J8" s="5">
        <f t="shared" ref="J8:J24" si="4">(H8)-(I8)</f>
        <v>0</v>
      </c>
    </row>
    <row r="9" spans="1:10" x14ac:dyDescent="0.3">
      <c r="A9" s="3" t="s">
        <v>8</v>
      </c>
      <c r="B9" s="4"/>
      <c r="C9" s="4"/>
      <c r="D9" s="5">
        <f t="shared" si="0"/>
        <v>0</v>
      </c>
      <c r="E9" s="4"/>
      <c r="F9" s="4"/>
      <c r="G9" s="5">
        <f t="shared" si="1"/>
        <v>0</v>
      </c>
      <c r="H9" s="5">
        <f t="shared" si="2"/>
        <v>0</v>
      </c>
      <c r="I9" s="5">
        <f t="shared" si="3"/>
        <v>0</v>
      </c>
      <c r="J9" s="5">
        <f t="shared" si="4"/>
        <v>0</v>
      </c>
    </row>
    <row r="10" spans="1:10" x14ac:dyDescent="0.3">
      <c r="A10" s="3" t="s">
        <v>9</v>
      </c>
      <c r="B10" s="5">
        <f>44736.94</f>
        <v>44736.94</v>
      </c>
      <c r="C10" s="5">
        <f>39104.5</f>
        <v>39104.5</v>
      </c>
      <c r="D10" s="5">
        <f t="shared" si="0"/>
        <v>5632.4400000000023</v>
      </c>
      <c r="E10" s="5">
        <f>48195.39</f>
        <v>48195.39</v>
      </c>
      <c r="F10" s="5">
        <f>39104.5</f>
        <v>39104.5</v>
      </c>
      <c r="G10" s="5">
        <f t="shared" si="1"/>
        <v>9090.89</v>
      </c>
      <c r="H10" s="5">
        <f t="shared" si="2"/>
        <v>92932.33</v>
      </c>
      <c r="I10" s="5">
        <f t="shared" si="3"/>
        <v>78209</v>
      </c>
      <c r="J10" s="5">
        <f t="shared" si="4"/>
        <v>14723.330000000002</v>
      </c>
    </row>
    <row r="11" spans="1:10" x14ac:dyDescent="0.3">
      <c r="A11" s="3" t="s">
        <v>10</v>
      </c>
      <c r="B11" s="5">
        <f>335</f>
        <v>335</v>
      </c>
      <c r="C11" s="5">
        <f>291.67</f>
        <v>291.67</v>
      </c>
      <c r="D11" s="5">
        <f t="shared" si="0"/>
        <v>43.329999999999984</v>
      </c>
      <c r="E11" s="5">
        <f>95</f>
        <v>95</v>
      </c>
      <c r="F11" s="5">
        <f>291.67</f>
        <v>291.67</v>
      </c>
      <c r="G11" s="5">
        <f t="shared" si="1"/>
        <v>-196.67000000000002</v>
      </c>
      <c r="H11" s="5">
        <f t="shared" si="2"/>
        <v>430</v>
      </c>
      <c r="I11" s="5">
        <f t="shared" si="3"/>
        <v>583.34</v>
      </c>
      <c r="J11" s="5">
        <f t="shared" si="4"/>
        <v>-153.34000000000003</v>
      </c>
    </row>
    <row r="12" spans="1:10" x14ac:dyDescent="0.3">
      <c r="A12" s="3" t="s">
        <v>11</v>
      </c>
      <c r="B12" s="6">
        <f>((B9)+(B10))+(B11)</f>
        <v>45071.94</v>
      </c>
      <c r="C12" s="6">
        <f>((C9)+(C10))+(C11)</f>
        <v>39396.17</v>
      </c>
      <c r="D12" s="6">
        <f t="shared" si="0"/>
        <v>5675.7700000000041</v>
      </c>
      <c r="E12" s="6">
        <f>((E9)+(E10))+(E11)</f>
        <v>48290.39</v>
      </c>
      <c r="F12" s="6">
        <f>((F9)+(F10))+(F11)</f>
        <v>39396.17</v>
      </c>
      <c r="G12" s="6">
        <f t="shared" si="1"/>
        <v>8894.2200000000012</v>
      </c>
      <c r="H12" s="6">
        <f t="shared" si="2"/>
        <v>93362.33</v>
      </c>
      <c r="I12" s="6">
        <f t="shared" si="3"/>
        <v>78792.34</v>
      </c>
      <c r="J12" s="6">
        <f t="shared" si="4"/>
        <v>14569.990000000005</v>
      </c>
    </row>
    <row r="13" spans="1:10" x14ac:dyDescent="0.3">
      <c r="A13" s="3" t="s">
        <v>12</v>
      </c>
      <c r="B13" s="4"/>
      <c r="C13" s="4"/>
      <c r="D13" s="5">
        <f t="shared" si="0"/>
        <v>0</v>
      </c>
      <c r="E13" s="4"/>
      <c r="F13" s="4"/>
      <c r="G13" s="5">
        <f t="shared" si="1"/>
        <v>0</v>
      </c>
      <c r="H13" s="5">
        <f t="shared" si="2"/>
        <v>0</v>
      </c>
      <c r="I13" s="5">
        <f t="shared" si="3"/>
        <v>0</v>
      </c>
      <c r="J13" s="5">
        <f t="shared" si="4"/>
        <v>0</v>
      </c>
    </row>
    <row r="14" spans="1:10" x14ac:dyDescent="0.3">
      <c r="A14" s="3" t="s">
        <v>13</v>
      </c>
      <c r="B14" s="5">
        <f>4836.85</f>
        <v>4836.8500000000004</v>
      </c>
      <c r="C14" s="5">
        <f>4710.58</f>
        <v>4710.58</v>
      </c>
      <c r="D14" s="5">
        <f t="shared" si="0"/>
        <v>126.27000000000044</v>
      </c>
      <c r="E14" s="5">
        <f>4836.85</f>
        <v>4836.8500000000004</v>
      </c>
      <c r="F14" s="5">
        <f>4710.58</f>
        <v>4710.58</v>
      </c>
      <c r="G14" s="5">
        <f t="shared" si="1"/>
        <v>126.27000000000044</v>
      </c>
      <c r="H14" s="5">
        <f t="shared" si="2"/>
        <v>9673.7000000000007</v>
      </c>
      <c r="I14" s="5">
        <f t="shared" si="3"/>
        <v>9421.16</v>
      </c>
      <c r="J14" s="5">
        <f t="shared" si="4"/>
        <v>252.54000000000087</v>
      </c>
    </row>
    <row r="15" spans="1:10" x14ac:dyDescent="0.3">
      <c r="A15" s="3" t="s">
        <v>14</v>
      </c>
      <c r="B15" s="4"/>
      <c r="C15" s="5">
        <f>0</f>
        <v>0</v>
      </c>
      <c r="D15" s="5">
        <f t="shared" si="0"/>
        <v>0</v>
      </c>
      <c r="E15" s="4"/>
      <c r="F15" s="5">
        <f>0</f>
        <v>0</v>
      </c>
      <c r="G15" s="5">
        <f t="shared" si="1"/>
        <v>0</v>
      </c>
      <c r="H15" s="5">
        <f t="shared" si="2"/>
        <v>0</v>
      </c>
      <c r="I15" s="5">
        <f t="shared" si="3"/>
        <v>0</v>
      </c>
      <c r="J15" s="5">
        <f t="shared" si="4"/>
        <v>0</v>
      </c>
    </row>
    <row r="16" spans="1:10" x14ac:dyDescent="0.3">
      <c r="A16" s="3" t="s">
        <v>15</v>
      </c>
      <c r="B16" s="6">
        <f>((B13)+(B14))+(B15)</f>
        <v>4836.8500000000004</v>
      </c>
      <c r="C16" s="6">
        <f>((C13)+(C14))+(C15)</f>
        <v>4710.58</v>
      </c>
      <c r="D16" s="6">
        <f t="shared" si="0"/>
        <v>126.27000000000044</v>
      </c>
      <c r="E16" s="6">
        <f>((E13)+(E14))+(E15)</f>
        <v>4836.8500000000004</v>
      </c>
      <c r="F16" s="6">
        <f>((F13)+(F14))+(F15)</f>
        <v>4710.58</v>
      </c>
      <c r="G16" s="6">
        <f t="shared" si="1"/>
        <v>126.27000000000044</v>
      </c>
      <c r="H16" s="6">
        <f t="shared" si="2"/>
        <v>9673.7000000000007</v>
      </c>
      <c r="I16" s="6">
        <f t="shared" si="3"/>
        <v>9421.16</v>
      </c>
      <c r="J16" s="6">
        <f t="shared" si="4"/>
        <v>252.54000000000087</v>
      </c>
    </row>
    <row r="17" spans="1:10" x14ac:dyDescent="0.3">
      <c r="A17" s="3" t="s">
        <v>16</v>
      </c>
      <c r="B17" s="4"/>
      <c r="C17" s="4"/>
      <c r="D17" s="5">
        <f t="shared" si="0"/>
        <v>0</v>
      </c>
      <c r="E17" s="4"/>
      <c r="F17" s="4"/>
      <c r="G17" s="5">
        <f t="shared" si="1"/>
        <v>0</v>
      </c>
      <c r="H17" s="5">
        <f t="shared" si="2"/>
        <v>0</v>
      </c>
      <c r="I17" s="5">
        <f t="shared" si="3"/>
        <v>0</v>
      </c>
      <c r="J17" s="5">
        <f t="shared" si="4"/>
        <v>0</v>
      </c>
    </row>
    <row r="18" spans="1:10" x14ac:dyDescent="0.3">
      <c r="A18" s="3" t="s">
        <v>17</v>
      </c>
      <c r="B18" s="5">
        <f>250</f>
        <v>250</v>
      </c>
      <c r="C18" s="5">
        <f>125</f>
        <v>125</v>
      </c>
      <c r="D18" s="5">
        <f t="shared" si="0"/>
        <v>125</v>
      </c>
      <c r="E18" s="5">
        <f>360</f>
        <v>360</v>
      </c>
      <c r="F18" s="5">
        <f>125</f>
        <v>125</v>
      </c>
      <c r="G18" s="5">
        <f t="shared" si="1"/>
        <v>235</v>
      </c>
      <c r="H18" s="5">
        <f t="shared" si="2"/>
        <v>610</v>
      </c>
      <c r="I18" s="5">
        <f t="shared" si="3"/>
        <v>250</v>
      </c>
      <c r="J18" s="5">
        <f t="shared" si="4"/>
        <v>360</v>
      </c>
    </row>
    <row r="19" spans="1:10" x14ac:dyDescent="0.3">
      <c r="A19" s="3" t="s">
        <v>18</v>
      </c>
      <c r="B19" s="5">
        <f>912</f>
        <v>912</v>
      </c>
      <c r="C19" s="5">
        <f>833.33</f>
        <v>833.33</v>
      </c>
      <c r="D19" s="5">
        <f t="shared" si="0"/>
        <v>78.669999999999959</v>
      </c>
      <c r="E19" s="5">
        <f>1064</f>
        <v>1064</v>
      </c>
      <c r="F19" s="5">
        <f>833.33</f>
        <v>833.33</v>
      </c>
      <c r="G19" s="5">
        <f t="shared" si="1"/>
        <v>230.66999999999996</v>
      </c>
      <c r="H19" s="5">
        <f t="shared" si="2"/>
        <v>1976</v>
      </c>
      <c r="I19" s="5">
        <f t="shared" si="3"/>
        <v>1666.66</v>
      </c>
      <c r="J19" s="5">
        <f t="shared" si="4"/>
        <v>309.33999999999992</v>
      </c>
    </row>
    <row r="20" spans="1:10" x14ac:dyDescent="0.3">
      <c r="A20" s="3" t="s">
        <v>19</v>
      </c>
      <c r="B20" s="4"/>
      <c r="C20" s="5">
        <f>0</f>
        <v>0</v>
      </c>
      <c r="D20" s="5">
        <f t="shared" si="0"/>
        <v>0</v>
      </c>
      <c r="E20" s="4"/>
      <c r="F20" s="5">
        <f>0</f>
        <v>0</v>
      </c>
      <c r="G20" s="5">
        <f t="shared" si="1"/>
        <v>0</v>
      </c>
      <c r="H20" s="5">
        <f t="shared" si="2"/>
        <v>0</v>
      </c>
      <c r="I20" s="5">
        <f t="shared" si="3"/>
        <v>0</v>
      </c>
      <c r="J20" s="5">
        <f t="shared" si="4"/>
        <v>0</v>
      </c>
    </row>
    <row r="21" spans="1:10" x14ac:dyDescent="0.3">
      <c r="A21" s="3" t="s">
        <v>20</v>
      </c>
      <c r="B21" s="6">
        <f>(((B17)+(B18))+(B19))+(B20)</f>
        <v>1162</v>
      </c>
      <c r="C21" s="6">
        <f>(((C17)+(C18))+(C19))+(C20)</f>
        <v>958.33</v>
      </c>
      <c r="D21" s="6">
        <f t="shared" si="0"/>
        <v>203.66999999999996</v>
      </c>
      <c r="E21" s="6">
        <f>(((E17)+(E18))+(E19))+(E20)</f>
        <v>1424</v>
      </c>
      <c r="F21" s="6">
        <f>(((F17)+(F18))+(F19))+(F20)</f>
        <v>958.33</v>
      </c>
      <c r="G21" s="6">
        <f t="shared" si="1"/>
        <v>465.66999999999996</v>
      </c>
      <c r="H21" s="6">
        <f t="shared" si="2"/>
        <v>2586</v>
      </c>
      <c r="I21" s="6">
        <f t="shared" si="3"/>
        <v>1916.66</v>
      </c>
      <c r="J21" s="6">
        <f t="shared" si="4"/>
        <v>669.33999999999992</v>
      </c>
    </row>
    <row r="22" spans="1:10" x14ac:dyDescent="0.3">
      <c r="A22" s="3" t="s">
        <v>21</v>
      </c>
      <c r="B22" s="6">
        <f>(((B8)+(B12))+(B16))+(B21)</f>
        <v>51070.79</v>
      </c>
      <c r="C22" s="6">
        <f>(((C8)+(C12))+(C16))+(C21)</f>
        <v>45065.08</v>
      </c>
      <c r="D22" s="6">
        <f t="shared" si="0"/>
        <v>6005.7099999999991</v>
      </c>
      <c r="E22" s="6">
        <f>(((E8)+(E12))+(E16))+(E21)</f>
        <v>54551.24</v>
      </c>
      <c r="F22" s="6">
        <f>(((F8)+(F12))+(F16))+(F21)</f>
        <v>45065.08</v>
      </c>
      <c r="G22" s="6">
        <f t="shared" si="1"/>
        <v>9486.1599999999962</v>
      </c>
      <c r="H22" s="6">
        <f t="shared" si="2"/>
        <v>105622.03</v>
      </c>
      <c r="I22" s="6">
        <f t="shared" si="3"/>
        <v>90130.16</v>
      </c>
      <c r="J22" s="6">
        <f t="shared" si="4"/>
        <v>15491.869999999995</v>
      </c>
    </row>
    <row r="23" spans="1:10" x14ac:dyDescent="0.3">
      <c r="A23" s="3" t="s">
        <v>22</v>
      </c>
      <c r="B23" s="6">
        <f>B22</f>
        <v>51070.79</v>
      </c>
      <c r="C23" s="6">
        <f>C22</f>
        <v>45065.08</v>
      </c>
      <c r="D23" s="6">
        <f t="shared" si="0"/>
        <v>6005.7099999999991</v>
      </c>
      <c r="E23" s="6">
        <f>E22</f>
        <v>54551.24</v>
      </c>
      <c r="F23" s="6">
        <f>F22</f>
        <v>45065.08</v>
      </c>
      <c r="G23" s="6">
        <f t="shared" si="1"/>
        <v>9486.1599999999962</v>
      </c>
      <c r="H23" s="6">
        <f t="shared" si="2"/>
        <v>105622.03</v>
      </c>
      <c r="I23" s="6">
        <f t="shared" si="3"/>
        <v>90130.16</v>
      </c>
      <c r="J23" s="6">
        <f t="shared" si="4"/>
        <v>15491.869999999995</v>
      </c>
    </row>
    <row r="24" spans="1:10" x14ac:dyDescent="0.3">
      <c r="A24" s="3" t="s">
        <v>23</v>
      </c>
      <c r="B24" s="6">
        <f>(B23)-(0)</f>
        <v>51070.79</v>
      </c>
      <c r="C24" s="6">
        <f>(C23)-(0)</f>
        <v>45065.08</v>
      </c>
      <c r="D24" s="6">
        <f t="shared" si="0"/>
        <v>6005.7099999999991</v>
      </c>
      <c r="E24" s="6">
        <f>(E23)-(0)</f>
        <v>54551.24</v>
      </c>
      <c r="F24" s="6">
        <f>(F23)-(0)</f>
        <v>45065.08</v>
      </c>
      <c r="G24" s="6">
        <f t="shared" si="1"/>
        <v>9486.1599999999962</v>
      </c>
      <c r="H24" s="6">
        <f t="shared" si="2"/>
        <v>105622.03</v>
      </c>
      <c r="I24" s="6">
        <f t="shared" si="3"/>
        <v>90130.16</v>
      </c>
      <c r="J24" s="6">
        <f t="shared" si="4"/>
        <v>15491.869999999995</v>
      </c>
    </row>
    <row r="25" spans="1:10" x14ac:dyDescent="0.3">
      <c r="A25" s="3" t="s">
        <v>24</v>
      </c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3">
      <c r="A26" s="3" t="s">
        <v>25</v>
      </c>
      <c r="B26" s="4"/>
      <c r="C26" s="4"/>
      <c r="D26" s="5">
        <f t="shared" ref="D26:D57" si="5">(B26)-(C26)</f>
        <v>0</v>
      </c>
      <c r="E26" s="4"/>
      <c r="F26" s="4"/>
      <c r="G26" s="5">
        <f t="shared" ref="G26:G57" si="6">(E26)-(F26)</f>
        <v>0</v>
      </c>
      <c r="H26" s="5">
        <f t="shared" ref="H26:H57" si="7">(B26)+(E26)</f>
        <v>0</v>
      </c>
      <c r="I26" s="5">
        <f t="shared" ref="I26:I57" si="8">(C26)+(F26)</f>
        <v>0</v>
      </c>
      <c r="J26" s="5">
        <f t="shared" ref="J26:J57" si="9">(H26)-(I26)</f>
        <v>0</v>
      </c>
    </row>
    <row r="27" spans="1:10" x14ac:dyDescent="0.3">
      <c r="A27" s="3" t="s">
        <v>26</v>
      </c>
      <c r="B27" s="5">
        <f>7224.46</f>
        <v>7224.46</v>
      </c>
      <c r="C27" s="5">
        <f>7932.08</f>
        <v>7932.08</v>
      </c>
      <c r="D27" s="5">
        <f t="shared" si="5"/>
        <v>-707.61999999999989</v>
      </c>
      <c r="E27" s="5">
        <f>7911.25</f>
        <v>7911.25</v>
      </c>
      <c r="F27" s="5">
        <f>7932.08</f>
        <v>7932.08</v>
      </c>
      <c r="G27" s="5">
        <f t="shared" si="6"/>
        <v>-20.829999999999927</v>
      </c>
      <c r="H27" s="5">
        <f t="shared" si="7"/>
        <v>15135.71</v>
      </c>
      <c r="I27" s="5">
        <f t="shared" si="8"/>
        <v>15864.16</v>
      </c>
      <c r="J27" s="5">
        <f t="shared" si="9"/>
        <v>-728.45000000000073</v>
      </c>
    </row>
    <row r="28" spans="1:10" x14ac:dyDescent="0.3">
      <c r="A28" s="3" t="s">
        <v>27</v>
      </c>
      <c r="B28" s="5">
        <f>944.3</f>
        <v>944.3</v>
      </c>
      <c r="C28" s="5">
        <f>951.83</f>
        <v>951.83</v>
      </c>
      <c r="D28" s="5">
        <f t="shared" si="5"/>
        <v>-7.5300000000000864</v>
      </c>
      <c r="E28" s="5">
        <f>1038.72</f>
        <v>1038.72</v>
      </c>
      <c r="F28" s="5">
        <f>951.83</f>
        <v>951.83</v>
      </c>
      <c r="G28" s="5">
        <f t="shared" si="6"/>
        <v>86.889999999999986</v>
      </c>
      <c r="H28" s="5">
        <f t="shared" si="7"/>
        <v>1983.02</v>
      </c>
      <c r="I28" s="5">
        <f t="shared" si="8"/>
        <v>1903.66</v>
      </c>
      <c r="J28" s="5">
        <f t="shared" si="9"/>
        <v>79.3599999999999</v>
      </c>
    </row>
    <row r="29" spans="1:10" x14ac:dyDescent="0.3">
      <c r="A29" s="3" t="s">
        <v>28</v>
      </c>
      <c r="B29" s="4"/>
      <c r="C29" s="5">
        <f>41.67</f>
        <v>41.67</v>
      </c>
      <c r="D29" s="5">
        <f t="shared" si="5"/>
        <v>-41.67</v>
      </c>
      <c r="E29" s="5">
        <f>44.43</f>
        <v>44.43</v>
      </c>
      <c r="F29" s="5">
        <f>41.67</f>
        <v>41.67</v>
      </c>
      <c r="G29" s="5">
        <f t="shared" si="6"/>
        <v>2.759999999999998</v>
      </c>
      <c r="H29" s="5">
        <f t="shared" si="7"/>
        <v>44.43</v>
      </c>
      <c r="I29" s="5">
        <f t="shared" si="8"/>
        <v>83.34</v>
      </c>
      <c r="J29" s="5">
        <f t="shared" si="9"/>
        <v>-38.910000000000004</v>
      </c>
    </row>
    <row r="30" spans="1:10" x14ac:dyDescent="0.3">
      <c r="A30" s="3" t="s">
        <v>29</v>
      </c>
      <c r="B30" s="5">
        <f>2652.16</f>
        <v>2652.16</v>
      </c>
      <c r="C30" s="5">
        <f>3016.67</f>
        <v>3016.67</v>
      </c>
      <c r="D30" s="5">
        <f t="shared" si="5"/>
        <v>-364.51000000000022</v>
      </c>
      <c r="E30" s="5">
        <f>2917.08</f>
        <v>2917.08</v>
      </c>
      <c r="F30" s="5">
        <f>3016.67</f>
        <v>3016.67</v>
      </c>
      <c r="G30" s="5">
        <f t="shared" si="6"/>
        <v>-99.590000000000146</v>
      </c>
      <c r="H30" s="5">
        <f t="shared" si="7"/>
        <v>5569.24</v>
      </c>
      <c r="I30" s="5">
        <f t="shared" si="8"/>
        <v>6033.34</v>
      </c>
      <c r="J30" s="5">
        <f t="shared" si="9"/>
        <v>-464.10000000000036</v>
      </c>
    </row>
    <row r="31" spans="1:10" x14ac:dyDescent="0.3">
      <c r="A31" s="3" t="s">
        <v>30</v>
      </c>
      <c r="B31" s="5">
        <f>202.9</f>
        <v>202.9</v>
      </c>
      <c r="C31" s="5">
        <f>230.75</f>
        <v>230.75</v>
      </c>
      <c r="D31" s="5">
        <f t="shared" si="5"/>
        <v>-27.849999999999994</v>
      </c>
      <c r="E31" s="5">
        <f>223.16</f>
        <v>223.16</v>
      </c>
      <c r="F31" s="5">
        <f>230.75</f>
        <v>230.75</v>
      </c>
      <c r="G31" s="5">
        <f t="shared" si="6"/>
        <v>-7.5900000000000034</v>
      </c>
      <c r="H31" s="5">
        <f t="shared" si="7"/>
        <v>426.06</v>
      </c>
      <c r="I31" s="5">
        <f t="shared" si="8"/>
        <v>461.5</v>
      </c>
      <c r="J31" s="5">
        <f t="shared" si="9"/>
        <v>-35.44</v>
      </c>
    </row>
    <row r="32" spans="1:10" x14ac:dyDescent="0.3">
      <c r="A32" s="3" t="s">
        <v>31</v>
      </c>
      <c r="B32" s="4"/>
      <c r="C32" s="5">
        <f>41.67</f>
        <v>41.67</v>
      </c>
      <c r="D32" s="5">
        <f t="shared" si="5"/>
        <v>-41.67</v>
      </c>
      <c r="E32" s="4"/>
      <c r="F32" s="5">
        <f>41.67</f>
        <v>41.67</v>
      </c>
      <c r="G32" s="5">
        <f t="shared" si="6"/>
        <v>-41.67</v>
      </c>
      <c r="H32" s="5">
        <f t="shared" si="7"/>
        <v>0</v>
      </c>
      <c r="I32" s="5">
        <f t="shared" si="8"/>
        <v>83.34</v>
      </c>
      <c r="J32" s="5">
        <f t="shared" si="9"/>
        <v>-83.34</v>
      </c>
    </row>
    <row r="33" spans="1:10" x14ac:dyDescent="0.3">
      <c r="A33" s="3" t="s">
        <v>32</v>
      </c>
      <c r="B33" s="4"/>
      <c r="C33" s="5">
        <f>0</f>
        <v>0</v>
      </c>
      <c r="D33" s="5">
        <f t="shared" si="5"/>
        <v>0</v>
      </c>
      <c r="E33" s="4"/>
      <c r="F33" s="5">
        <f>0</f>
        <v>0</v>
      </c>
      <c r="G33" s="5">
        <f t="shared" si="6"/>
        <v>0</v>
      </c>
      <c r="H33" s="5">
        <f t="shared" si="7"/>
        <v>0</v>
      </c>
      <c r="I33" s="5">
        <f t="shared" si="8"/>
        <v>0</v>
      </c>
      <c r="J33" s="5">
        <f t="shared" si="9"/>
        <v>0</v>
      </c>
    </row>
    <row r="34" spans="1:10" x14ac:dyDescent="0.3">
      <c r="A34" s="3" t="s">
        <v>33</v>
      </c>
      <c r="B34" s="6">
        <f>(((((((B26)+(B27))+(B28))+(B29))+(B30))+(B31))+(B32))+(B33)</f>
        <v>11023.82</v>
      </c>
      <c r="C34" s="6">
        <f>(((((((C26)+(C27))+(C28))+(C29))+(C30))+(C31))+(C32))+(C33)</f>
        <v>12214.67</v>
      </c>
      <c r="D34" s="6">
        <f t="shared" si="5"/>
        <v>-1190.8500000000004</v>
      </c>
      <c r="E34" s="6">
        <f>(((((((E26)+(E27))+(E28))+(E29))+(E30))+(E31))+(E32))+(E33)</f>
        <v>12134.64</v>
      </c>
      <c r="F34" s="6">
        <f>(((((((F26)+(F27))+(F28))+(F29))+(F30))+(F31))+(F32))+(F33)</f>
        <v>12214.67</v>
      </c>
      <c r="G34" s="6">
        <f t="shared" si="6"/>
        <v>-80.030000000000655</v>
      </c>
      <c r="H34" s="6">
        <f t="shared" si="7"/>
        <v>23158.46</v>
      </c>
      <c r="I34" s="6">
        <f t="shared" si="8"/>
        <v>24429.34</v>
      </c>
      <c r="J34" s="6">
        <f t="shared" si="9"/>
        <v>-1270.880000000001</v>
      </c>
    </row>
    <row r="35" spans="1:10" x14ac:dyDescent="0.3">
      <c r="A35" s="3" t="s">
        <v>34</v>
      </c>
      <c r="B35" s="4"/>
      <c r="C35" s="4"/>
      <c r="D35" s="5">
        <f t="shared" si="5"/>
        <v>0</v>
      </c>
      <c r="E35" s="4"/>
      <c r="F35" s="4"/>
      <c r="G35" s="5">
        <f t="shared" si="6"/>
        <v>0</v>
      </c>
      <c r="H35" s="5">
        <f t="shared" si="7"/>
        <v>0</v>
      </c>
      <c r="I35" s="5">
        <f t="shared" si="8"/>
        <v>0</v>
      </c>
      <c r="J35" s="5">
        <f t="shared" si="9"/>
        <v>0</v>
      </c>
    </row>
    <row r="36" spans="1:10" x14ac:dyDescent="0.3">
      <c r="A36" s="3" t="s">
        <v>35</v>
      </c>
      <c r="B36" s="5">
        <f>1387.24</f>
        <v>1387.24</v>
      </c>
      <c r="C36" s="5">
        <f>1555.42</f>
        <v>1555.42</v>
      </c>
      <c r="D36" s="5">
        <f t="shared" si="5"/>
        <v>-168.18000000000006</v>
      </c>
      <c r="E36" s="5">
        <f>1537.67</f>
        <v>1537.67</v>
      </c>
      <c r="F36" s="5">
        <f>1555.42</f>
        <v>1555.42</v>
      </c>
      <c r="G36" s="5">
        <f t="shared" si="6"/>
        <v>-17.75</v>
      </c>
      <c r="H36" s="5">
        <f t="shared" si="7"/>
        <v>2924.91</v>
      </c>
      <c r="I36" s="5">
        <f t="shared" si="8"/>
        <v>3110.84</v>
      </c>
      <c r="J36" s="5">
        <f t="shared" si="9"/>
        <v>-185.93000000000029</v>
      </c>
    </row>
    <row r="37" spans="1:10" x14ac:dyDescent="0.3">
      <c r="A37" s="3" t="s">
        <v>36</v>
      </c>
      <c r="B37" s="5">
        <f>106.12</f>
        <v>106.12</v>
      </c>
      <c r="C37" s="5">
        <f>119</f>
        <v>119</v>
      </c>
      <c r="D37" s="5">
        <f t="shared" si="5"/>
        <v>-12.879999999999995</v>
      </c>
      <c r="E37" s="5">
        <f>117.64</f>
        <v>117.64</v>
      </c>
      <c r="F37" s="5">
        <f>119</f>
        <v>119</v>
      </c>
      <c r="G37" s="5">
        <f t="shared" si="6"/>
        <v>-1.3599999999999994</v>
      </c>
      <c r="H37" s="5">
        <f t="shared" si="7"/>
        <v>223.76</v>
      </c>
      <c r="I37" s="5">
        <f t="shared" si="8"/>
        <v>238</v>
      </c>
      <c r="J37" s="5">
        <f t="shared" si="9"/>
        <v>-14.240000000000009</v>
      </c>
    </row>
    <row r="38" spans="1:10" x14ac:dyDescent="0.3">
      <c r="A38" s="3" t="s">
        <v>37</v>
      </c>
      <c r="B38" s="5">
        <f>356.5</f>
        <v>356.5</v>
      </c>
      <c r="C38" s="5">
        <f>274</f>
        <v>274</v>
      </c>
      <c r="D38" s="5">
        <f t="shared" si="5"/>
        <v>82.5</v>
      </c>
      <c r="E38" s="5">
        <f>169.19</f>
        <v>169.19</v>
      </c>
      <c r="F38" s="5">
        <f>274</f>
        <v>274</v>
      </c>
      <c r="G38" s="5">
        <f t="shared" si="6"/>
        <v>-104.81</v>
      </c>
      <c r="H38" s="5">
        <f t="shared" si="7"/>
        <v>525.69000000000005</v>
      </c>
      <c r="I38" s="5">
        <f t="shared" si="8"/>
        <v>548</v>
      </c>
      <c r="J38" s="5">
        <f t="shared" si="9"/>
        <v>-22.309999999999945</v>
      </c>
    </row>
    <row r="39" spans="1:10" x14ac:dyDescent="0.3">
      <c r="A39" s="3" t="s">
        <v>38</v>
      </c>
      <c r="B39" s="5">
        <f>27.27</f>
        <v>27.27</v>
      </c>
      <c r="C39" s="5">
        <f>21</f>
        <v>21</v>
      </c>
      <c r="D39" s="5">
        <f t="shared" si="5"/>
        <v>6.27</v>
      </c>
      <c r="E39" s="5">
        <f>12.94</f>
        <v>12.94</v>
      </c>
      <c r="F39" s="5">
        <f>21</f>
        <v>21</v>
      </c>
      <c r="G39" s="5">
        <f t="shared" si="6"/>
        <v>-8.06</v>
      </c>
      <c r="H39" s="5">
        <f t="shared" si="7"/>
        <v>40.21</v>
      </c>
      <c r="I39" s="5">
        <f t="shared" si="8"/>
        <v>42</v>
      </c>
      <c r="J39" s="5">
        <f t="shared" si="9"/>
        <v>-1.7899999999999991</v>
      </c>
    </row>
    <row r="40" spans="1:10" x14ac:dyDescent="0.3">
      <c r="A40" s="3" t="s">
        <v>39</v>
      </c>
      <c r="B40" s="4"/>
      <c r="C40" s="5">
        <f>0</f>
        <v>0</v>
      </c>
      <c r="D40" s="5">
        <f t="shared" si="5"/>
        <v>0</v>
      </c>
      <c r="E40" s="4"/>
      <c r="F40" s="5">
        <f>0</f>
        <v>0</v>
      </c>
      <c r="G40" s="5">
        <f t="shared" si="6"/>
        <v>0</v>
      </c>
      <c r="H40" s="5">
        <f t="shared" si="7"/>
        <v>0</v>
      </c>
      <c r="I40" s="5">
        <f t="shared" si="8"/>
        <v>0</v>
      </c>
      <c r="J40" s="5">
        <f t="shared" si="9"/>
        <v>0</v>
      </c>
    </row>
    <row r="41" spans="1:10" x14ac:dyDescent="0.3">
      <c r="A41" s="3" t="s">
        <v>40</v>
      </c>
      <c r="B41" s="4"/>
      <c r="C41" s="5">
        <f>0</f>
        <v>0</v>
      </c>
      <c r="D41" s="5">
        <f t="shared" si="5"/>
        <v>0</v>
      </c>
      <c r="E41" s="4"/>
      <c r="F41" s="5">
        <f>0</f>
        <v>0</v>
      </c>
      <c r="G41" s="5">
        <f t="shared" si="6"/>
        <v>0</v>
      </c>
      <c r="H41" s="5">
        <f t="shared" si="7"/>
        <v>0</v>
      </c>
      <c r="I41" s="5">
        <f t="shared" si="8"/>
        <v>0</v>
      </c>
      <c r="J41" s="5">
        <f t="shared" si="9"/>
        <v>0</v>
      </c>
    </row>
    <row r="42" spans="1:10" x14ac:dyDescent="0.3">
      <c r="A42" s="3" t="s">
        <v>41</v>
      </c>
      <c r="B42" s="5">
        <f>187.32</f>
        <v>187.32</v>
      </c>
      <c r="C42" s="5">
        <f>375</f>
        <v>375</v>
      </c>
      <c r="D42" s="5">
        <f t="shared" si="5"/>
        <v>-187.68</v>
      </c>
      <c r="E42" s="5">
        <f>53.94</f>
        <v>53.94</v>
      </c>
      <c r="F42" s="5">
        <f>375</f>
        <v>375</v>
      </c>
      <c r="G42" s="5">
        <f t="shared" si="6"/>
        <v>-321.06</v>
      </c>
      <c r="H42" s="5">
        <f t="shared" si="7"/>
        <v>241.26</v>
      </c>
      <c r="I42" s="5">
        <f t="shared" si="8"/>
        <v>750</v>
      </c>
      <c r="J42" s="5">
        <f t="shared" si="9"/>
        <v>-508.74</v>
      </c>
    </row>
    <row r="43" spans="1:10" x14ac:dyDescent="0.3">
      <c r="A43" s="3" t="s">
        <v>42</v>
      </c>
      <c r="B43" s="4"/>
      <c r="C43" s="5">
        <f>250</f>
        <v>250</v>
      </c>
      <c r="D43" s="5">
        <f t="shared" si="5"/>
        <v>-250</v>
      </c>
      <c r="E43" s="4"/>
      <c r="F43" s="5">
        <f>0</f>
        <v>0</v>
      </c>
      <c r="G43" s="5">
        <f t="shared" si="6"/>
        <v>0</v>
      </c>
      <c r="H43" s="5">
        <f t="shared" si="7"/>
        <v>0</v>
      </c>
      <c r="I43" s="5">
        <f t="shared" si="8"/>
        <v>250</v>
      </c>
      <c r="J43" s="5">
        <f t="shared" si="9"/>
        <v>-250</v>
      </c>
    </row>
    <row r="44" spans="1:10" x14ac:dyDescent="0.3">
      <c r="A44" s="3" t="s">
        <v>43</v>
      </c>
      <c r="B44" s="6">
        <f>((((((((B35)+(B36))+(B37))+(B38))+(B39))+(B40))+(B41))+(B42))+(B43)</f>
        <v>2064.4500000000003</v>
      </c>
      <c r="C44" s="6">
        <f>((((((((C35)+(C36))+(C37))+(C38))+(C39))+(C40))+(C41))+(C42))+(C43)</f>
        <v>2594.42</v>
      </c>
      <c r="D44" s="6">
        <f t="shared" si="5"/>
        <v>-529.9699999999998</v>
      </c>
      <c r="E44" s="6">
        <f>((((((((E35)+(E36))+(E37))+(E38))+(E39))+(E40))+(E41))+(E42))+(E43)</f>
        <v>1891.3800000000003</v>
      </c>
      <c r="F44" s="6">
        <f>((((((((F35)+(F36))+(F37))+(F38))+(F39))+(F40))+(F41))+(F42))+(F43)</f>
        <v>2344.42</v>
      </c>
      <c r="G44" s="6">
        <f t="shared" si="6"/>
        <v>-453.03999999999974</v>
      </c>
      <c r="H44" s="6">
        <f t="shared" si="7"/>
        <v>3955.8300000000008</v>
      </c>
      <c r="I44" s="6">
        <f t="shared" si="8"/>
        <v>4938.84</v>
      </c>
      <c r="J44" s="6">
        <f t="shared" si="9"/>
        <v>-983.00999999999931</v>
      </c>
    </row>
    <row r="45" spans="1:10" x14ac:dyDescent="0.3">
      <c r="A45" s="3" t="s">
        <v>44</v>
      </c>
      <c r="B45" s="4"/>
      <c r="C45" s="4"/>
      <c r="D45" s="5">
        <f t="shared" si="5"/>
        <v>0</v>
      </c>
      <c r="E45" s="4"/>
      <c r="F45" s="4"/>
      <c r="G45" s="5">
        <f t="shared" si="6"/>
        <v>0</v>
      </c>
      <c r="H45" s="5">
        <f t="shared" si="7"/>
        <v>0</v>
      </c>
      <c r="I45" s="5">
        <f t="shared" si="8"/>
        <v>0</v>
      </c>
      <c r="J45" s="5">
        <f t="shared" si="9"/>
        <v>0</v>
      </c>
    </row>
    <row r="46" spans="1:10" x14ac:dyDescent="0.3">
      <c r="A46" s="3" t="s">
        <v>45</v>
      </c>
      <c r="B46" s="5">
        <f>6557</f>
        <v>6557</v>
      </c>
      <c r="C46" s="5">
        <f>6500.33</f>
        <v>6500.33</v>
      </c>
      <c r="D46" s="5">
        <f t="shared" si="5"/>
        <v>56.670000000000073</v>
      </c>
      <c r="E46" s="5">
        <f>6557</f>
        <v>6557</v>
      </c>
      <c r="F46" s="5">
        <f>6500.33</f>
        <v>6500.33</v>
      </c>
      <c r="G46" s="5">
        <f t="shared" si="6"/>
        <v>56.670000000000073</v>
      </c>
      <c r="H46" s="5">
        <f t="shared" si="7"/>
        <v>13114</v>
      </c>
      <c r="I46" s="5">
        <f t="shared" si="8"/>
        <v>13000.66</v>
      </c>
      <c r="J46" s="5">
        <f t="shared" si="9"/>
        <v>113.34000000000015</v>
      </c>
    </row>
    <row r="47" spans="1:10" x14ac:dyDescent="0.3">
      <c r="A47" s="3" t="s">
        <v>46</v>
      </c>
      <c r="B47" s="4"/>
      <c r="C47" s="5">
        <f>0</f>
        <v>0</v>
      </c>
      <c r="D47" s="5">
        <f t="shared" si="5"/>
        <v>0</v>
      </c>
      <c r="E47" s="5">
        <f>5000</f>
        <v>5000</v>
      </c>
      <c r="F47" s="5">
        <f>5000</f>
        <v>5000</v>
      </c>
      <c r="G47" s="5">
        <f t="shared" si="6"/>
        <v>0</v>
      </c>
      <c r="H47" s="5">
        <f t="shared" si="7"/>
        <v>5000</v>
      </c>
      <c r="I47" s="5">
        <f t="shared" si="8"/>
        <v>5000</v>
      </c>
      <c r="J47" s="5">
        <f t="shared" si="9"/>
        <v>0</v>
      </c>
    </row>
    <row r="48" spans="1:10" x14ac:dyDescent="0.3">
      <c r="A48" s="3" t="s">
        <v>47</v>
      </c>
      <c r="B48" s="4"/>
      <c r="C48" s="5">
        <f>0</f>
        <v>0</v>
      </c>
      <c r="D48" s="5">
        <f t="shared" si="5"/>
        <v>0</v>
      </c>
      <c r="E48" s="4"/>
      <c r="F48" s="5">
        <f>0</f>
        <v>0</v>
      </c>
      <c r="G48" s="5">
        <f t="shared" si="6"/>
        <v>0</v>
      </c>
      <c r="H48" s="5">
        <f t="shared" si="7"/>
        <v>0</v>
      </c>
      <c r="I48" s="5">
        <f t="shared" si="8"/>
        <v>0</v>
      </c>
      <c r="J48" s="5">
        <f t="shared" si="9"/>
        <v>0</v>
      </c>
    </row>
    <row r="49" spans="1:10" x14ac:dyDescent="0.3">
      <c r="A49" s="3" t="s">
        <v>48</v>
      </c>
      <c r="B49" s="4"/>
      <c r="C49" s="5">
        <f>0</f>
        <v>0</v>
      </c>
      <c r="D49" s="5">
        <f t="shared" si="5"/>
        <v>0</v>
      </c>
      <c r="E49" s="4"/>
      <c r="F49" s="5">
        <f>0</f>
        <v>0</v>
      </c>
      <c r="G49" s="5">
        <f t="shared" si="6"/>
        <v>0</v>
      </c>
      <c r="H49" s="5">
        <f t="shared" si="7"/>
        <v>0</v>
      </c>
      <c r="I49" s="5">
        <f t="shared" si="8"/>
        <v>0</v>
      </c>
      <c r="J49" s="5">
        <f t="shared" si="9"/>
        <v>0</v>
      </c>
    </row>
    <row r="50" spans="1:10" x14ac:dyDescent="0.3">
      <c r="A50" s="3" t="s">
        <v>49</v>
      </c>
      <c r="B50" s="4"/>
      <c r="C50" s="5">
        <f>0</f>
        <v>0</v>
      </c>
      <c r="D50" s="5">
        <f t="shared" si="5"/>
        <v>0</v>
      </c>
      <c r="E50" s="4"/>
      <c r="F50" s="5">
        <f>0</f>
        <v>0</v>
      </c>
      <c r="G50" s="5">
        <f t="shared" si="6"/>
        <v>0</v>
      </c>
      <c r="H50" s="5">
        <f t="shared" si="7"/>
        <v>0</v>
      </c>
      <c r="I50" s="5">
        <f t="shared" si="8"/>
        <v>0</v>
      </c>
      <c r="J50" s="5">
        <f t="shared" si="9"/>
        <v>0</v>
      </c>
    </row>
    <row r="51" spans="1:10" x14ac:dyDescent="0.3">
      <c r="A51" s="3" t="s">
        <v>50</v>
      </c>
      <c r="B51" s="4"/>
      <c r="C51" s="5">
        <f>0</f>
        <v>0</v>
      </c>
      <c r="D51" s="5">
        <f t="shared" si="5"/>
        <v>0</v>
      </c>
      <c r="E51" s="4"/>
      <c r="F51" s="5">
        <f>0</f>
        <v>0</v>
      </c>
      <c r="G51" s="5">
        <f t="shared" si="6"/>
        <v>0</v>
      </c>
      <c r="H51" s="5">
        <f t="shared" si="7"/>
        <v>0</v>
      </c>
      <c r="I51" s="5">
        <f t="shared" si="8"/>
        <v>0</v>
      </c>
      <c r="J51" s="5">
        <f t="shared" si="9"/>
        <v>0</v>
      </c>
    </row>
    <row r="52" spans="1:10" x14ac:dyDescent="0.3">
      <c r="A52" s="3" t="s">
        <v>51</v>
      </c>
      <c r="B52" s="6">
        <f>((((((B45)+(B46))+(B47))+(B48))+(B49))+(B50))+(B51)</f>
        <v>6557</v>
      </c>
      <c r="C52" s="6">
        <f>((((((C45)+(C46))+(C47))+(C48))+(C49))+(C50))+(C51)</f>
        <v>6500.33</v>
      </c>
      <c r="D52" s="6">
        <f t="shared" si="5"/>
        <v>56.670000000000073</v>
      </c>
      <c r="E52" s="6">
        <f>((((((E45)+(E46))+(E47))+(E48))+(E49))+(E50))+(E51)</f>
        <v>11557</v>
      </c>
      <c r="F52" s="6">
        <f>((((((F45)+(F46))+(F47))+(F48))+(F49))+(F50))+(F51)</f>
        <v>11500.33</v>
      </c>
      <c r="G52" s="6">
        <f t="shared" si="6"/>
        <v>56.670000000000073</v>
      </c>
      <c r="H52" s="6">
        <f t="shared" si="7"/>
        <v>18114</v>
      </c>
      <c r="I52" s="6">
        <f t="shared" si="8"/>
        <v>18000.66</v>
      </c>
      <c r="J52" s="6">
        <f t="shared" si="9"/>
        <v>113.34000000000015</v>
      </c>
    </row>
    <row r="53" spans="1:10" x14ac:dyDescent="0.3">
      <c r="A53" s="3" t="s">
        <v>52</v>
      </c>
      <c r="B53" s="4"/>
      <c r="C53" s="4"/>
      <c r="D53" s="5">
        <f t="shared" si="5"/>
        <v>0</v>
      </c>
      <c r="E53" s="4"/>
      <c r="F53" s="4"/>
      <c r="G53" s="5">
        <f t="shared" si="6"/>
        <v>0</v>
      </c>
      <c r="H53" s="5">
        <f t="shared" si="7"/>
        <v>0</v>
      </c>
      <c r="I53" s="5">
        <f t="shared" si="8"/>
        <v>0</v>
      </c>
      <c r="J53" s="5">
        <f t="shared" si="9"/>
        <v>0</v>
      </c>
    </row>
    <row r="54" spans="1:10" x14ac:dyDescent="0.3">
      <c r="A54" s="3" t="s">
        <v>53</v>
      </c>
      <c r="B54" s="4"/>
      <c r="C54" s="5">
        <f>0</f>
        <v>0</v>
      </c>
      <c r="D54" s="5">
        <f t="shared" si="5"/>
        <v>0</v>
      </c>
      <c r="E54" s="4"/>
      <c r="F54" s="5">
        <f>0</f>
        <v>0</v>
      </c>
      <c r="G54" s="5">
        <f t="shared" si="6"/>
        <v>0</v>
      </c>
      <c r="H54" s="5">
        <f t="shared" si="7"/>
        <v>0</v>
      </c>
      <c r="I54" s="5">
        <f t="shared" si="8"/>
        <v>0</v>
      </c>
      <c r="J54" s="5">
        <f t="shared" si="9"/>
        <v>0</v>
      </c>
    </row>
    <row r="55" spans="1:10" x14ac:dyDescent="0.3">
      <c r="A55" s="3" t="s">
        <v>54</v>
      </c>
      <c r="B55" s="4"/>
      <c r="C55" s="5">
        <f>0</f>
        <v>0</v>
      </c>
      <c r="D55" s="5">
        <f t="shared" si="5"/>
        <v>0</v>
      </c>
      <c r="E55" s="4"/>
      <c r="F55" s="5">
        <f>0</f>
        <v>0</v>
      </c>
      <c r="G55" s="5">
        <f t="shared" si="6"/>
        <v>0</v>
      </c>
      <c r="H55" s="5">
        <f t="shared" si="7"/>
        <v>0</v>
      </c>
      <c r="I55" s="5">
        <f t="shared" si="8"/>
        <v>0</v>
      </c>
      <c r="J55" s="5">
        <f t="shared" si="9"/>
        <v>0</v>
      </c>
    </row>
    <row r="56" spans="1:10" x14ac:dyDescent="0.3">
      <c r="A56" s="3" t="s">
        <v>55</v>
      </c>
      <c r="B56" s="4"/>
      <c r="C56" s="5">
        <f>0</f>
        <v>0</v>
      </c>
      <c r="D56" s="5">
        <f t="shared" si="5"/>
        <v>0</v>
      </c>
      <c r="E56" s="4"/>
      <c r="F56" s="5">
        <f>0</f>
        <v>0</v>
      </c>
      <c r="G56" s="5">
        <f t="shared" si="6"/>
        <v>0</v>
      </c>
      <c r="H56" s="5">
        <f t="shared" si="7"/>
        <v>0</v>
      </c>
      <c r="I56" s="5">
        <f t="shared" si="8"/>
        <v>0</v>
      </c>
      <c r="J56" s="5">
        <f t="shared" si="9"/>
        <v>0</v>
      </c>
    </row>
    <row r="57" spans="1:10" x14ac:dyDescent="0.3">
      <c r="A57" s="3" t="s">
        <v>56</v>
      </c>
      <c r="B57" s="4"/>
      <c r="C57" s="5">
        <f>0</f>
        <v>0</v>
      </c>
      <c r="D57" s="5">
        <f t="shared" si="5"/>
        <v>0</v>
      </c>
      <c r="E57" s="4"/>
      <c r="F57" s="5">
        <f>0</f>
        <v>0</v>
      </c>
      <c r="G57" s="5">
        <f t="shared" si="6"/>
        <v>0</v>
      </c>
      <c r="H57" s="5">
        <f t="shared" si="7"/>
        <v>0</v>
      </c>
      <c r="I57" s="5">
        <f t="shared" si="8"/>
        <v>0</v>
      </c>
      <c r="J57" s="5">
        <f t="shared" si="9"/>
        <v>0</v>
      </c>
    </row>
    <row r="58" spans="1:10" x14ac:dyDescent="0.3">
      <c r="A58" s="3" t="s">
        <v>57</v>
      </c>
      <c r="B58" s="4"/>
      <c r="C58" s="5">
        <f>0</f>
        <v>0</v>
      </c>
      <c r="D58" s="5">
        <f t="shared" ref="D58:D89" si="10">(B58)-(C58)</f>
        <v>0</v>
      </c>
      <c r="E58" s="4"/>
      <c r="F58" s="5">
        <f>0</f>
        <v>0</v>
      </c>
      <c r="G58" s="5">
        <f t="shared" ref="G58:G89" si="11">(E58)-(F58)</f>
        <v>0</v>
      </c>
      <c r="H58" s="5">
        <f t="shared" ref="H58:H89" si="12">(B58)+(E58)</f>
        <v>0</v>
      </c>
      <c r="I58" s="5">
        <f t="shared" ref="I58:I89" si="13">(C58)+(F58)</f>
        <v>0</v>
      </c>
      <c r="J58" s="5">
        <f t="shared" ref="J58:J89" si="14">(H58)-(I58)</f>
        <v>0</v>
      </c>
    </row>
    <row r="59" spans="1:10" x14ac:dyDescent="0.3">
      <c r="A59" s="3" t="s">
        <v>58</v>
      </c>
      <c r="B59" s="4"/>
      <c r="C59" s="5">
        <f>0</f>
        <v>0</v>
      </c>
      <c r="D59" s="5">
        <f t="shared" si="10"/>
        <v>0</v>
      </c>
      <c r="E59" s="4"/>
      <c r="F59" s="5">
        <f>0</f>
        <v>0</v>
      </c>
      <c r="G59" s="5">
        <f t="shared" si="11"/>
        <v>0</v>
      </c>
      <c r="H59" s="5">
        <f t="shared" si="12"/>
        <v>0</v>
      </c>
      <c r="I59" s="5">
        <f t="shared" si="13"/>
        <v>0</v>
      </c>
      <c r="J59" s="5">
        <f t="shared" si="14"/>
        <v>0</v>
      </c>
    </row>
    <row r="60" spans="1:10" x14ac:dyDescent="0.3">
      <c r="A60" s="3" t="s">
        <v>59</v>
      </c>
      <c r="B60" s="4"/>
      <c r="C60" s="5">
        <f>0</f>
        <v>0</v>
      </c>
      <c r="D60" s="5">
        <f t="shared" si="10"/>
        <v>0</v>
      </c>
      <c r="E60" s="4"/>
      <c r="F60" s="5">
        <f>0</f>
        <v>0</v>
      </c>
      <c r="G60" s="5">
        <f t="shared" si="11"/>
        <v>0</v>
      </c>
      <c r="H60" s="5">
        <f t="shared" si="12"/>
        <v>0</v>
      </c>
      <c r="I60" s="5">
        <f t="shared" si="13"/>
        <v>0</v>
      </c>
      <c r="J60" s="5">
        <f t="shared" si="14"/>
        <v>0</v>
      </c>
    </row>
    <row r="61" spans="1:10" x14ac:dyDescent="0.3">
      <c r="A61" s="3" t="s">
        <v>60</v>
      </c>
      <c r="B61" s="4"/>
      <c r="C61" s="5">
        <f>0</f>
        <v>0</v>
      </c>
      <c r="D61" s="5">
        <f t="shared" si="10"/>
        <v>0</v>
      </c>
      <c r="E61" s="4"/>
      <c r="F61" s="5">
        <f>0</f>
        <v>0</v>
      </c>
      <c r="G61" s="5">
        <f t="shared" si="11"/>
        <v>0</v>
      </c>
      <c r="H61" s="5">
        <f t="shared" si="12"/>
        <v>0</v>
      </c>
      <c r="I61" s="5">
        <f t="shared" si="13"/>
        <v>0</v>
      </c>
      <c r="J61" s="5">
        <f t="shared" si="14"/>
        <v>0</v>
      </c>
    </row>
    <row r="62" spans="1:10" x14ac:dyDescent="0.3">
      <c r="A62" s="3" t="s">
        <v>61</v>
      </c>
      <c r="B62" s="4"/>
      <c r="C62" s="5">
        <f>0</f>
        <v>0</v>
      </c>
      <c r="D62" s="5">
        <f t="shared" si="10"/>
        <v>0</v>
      </c>
      <c r="E62" s="4"/>
      <c r="F62" s="5">
        <f>0</f>
        <v>0</v>
      </c>
      <c r="G62" s="5">
        <f t="shared" si="11"/>
        <v>0</v>
      </c>
      <c r="H62" s="5">
        <f t="shared" si="12"/>
        <v>0</v>
      </c>
      <c r="I62" s="5">
        <f t="shared" si="13"/>
        <v>0</v>
      </c>
      <c r="J62" s="5">
        <f t="shared" si="14"/>
        <v>0</v>
      </c>
    </row>
    <row r="63" spans="1:10" x14ac:dyDescent="0.3">
      <c r="A63" s="3" t="s">
        <v>62</v>
      </c>
      <c r="B63" s="4"/>
      <c r="C63" s="5">
        <f>0</f>
        <v>0</v>
      </c>
      <c r="D63" s="5">
        <f t="shared" si="10"/>
        <v>0</v>
      </c>
      <c r="E63" s="4"/>
      <c r="F63" s="5">
        <f>0</f>
        <v>0</v>
      </c>
      <c r="G63" s="5">
        <f t="shared" si="11"/>
        <v>0</v>
      </c>
      <c r="H63" s="5">
        <f t="shared" si="12"/>
        <v>0</v>
      </c>
      <c r="I63" s="5">
        <f t="shared" si="13"/>
        <v>0</v>
      </c>
      <c r="J63" s="5">
        <f t="shared" si="14"/>
        <v>0</v>
      </c>
    </row>
    <row r="64" spans="1:10" x14ac:dyDescent="0.3">
      <c r="A64" s="3" t="s">
        <v>63</v>
      </c>
      <c r="B64" s="4"/>
      <c r="C64" s="5">
        <f>0</f>
        <v>0</v>
      </c>
      <c r="D64" s="5">
        <f t="shared" si="10"/>
        <v>0</v>
      </c>
      <c r="E64" s="4"/>
      <c r="F64" s="5">
        <f>0</f>
        <v>0</v>
      </c>
      <c r="G64" s="5">
        <f t="shared" si="11"/>
        <v>0</v>
      </c>
      <c r="H64" s="5">
        <f t="shared" si="12"/>
        <v>0</v>
      </c>
      <c r="I64" s="5">
        <f t="shared" si="13"/>
        <v>0</v>
      </c>
      <c r="J64" s="5">
        <f t="shared" si="14"/>
        <v>0</v>
      </c>
    </row>
    <row r="65" spans="1:10" x14ac:dyDescent="0.3">
      <c r="A65" s="3" t="s">
        <v>64</v>
      </c>
      <c r="B65" s="4"/>
      <c r="C65" s="5">
        <f>0</f>
        <v>0</v>
      </c>
      <c r="D65" s="5">
        <f t="shared" si="10"/>
        <v>0</v>
      </c>
      <c r="E65" s="4"/>
      <c r="F65" s="5">
        <f>0</f>
        <v>0</v>
      </c>
      <c r="G65" s="5">
        <f t="shared" si="11"/>
        <v>0</v>
      </c>
      <c r="H65" s="5">
        <f t="shared" si="12"/>
        <v>0</v>
      </c>
      <c r="I65" s="5">
        <f t="shared" si="13"/>
        <v>0</v>
      </c>
      <c r="J65" s="5">
        <f t="shared" si="14"/>
        <v>0</v>
      </c>
    </row>
    <row r="66" spans="1:10" x14ac:dyDescent="0.3">
      <c r="A66" s="3" t="s">
        <v>65</v>
      </c>
      <c r="B66" s="4"/>
      <c r="C66" s="5">
        <f>0</f>
        <v>0</v>
      </c>
      <c r="D66" s="5">
        <f t="shared" si="10"/>
        <v>0</v>
      </c>
      <c r="E66" s="4"/>
      <c r="F66" s="5">
        <f>0</f>
        <v>0</v>
      </c>
      <c r="G66" s="5">
        <f t="shared" si="11"/>
        <v>0</v>
      </c>
      <c r="H66" s="5">
        <f t="shared" si="12"/>
        <v>0</v>
      </c>
      <c r="I66" s="5">
        <f t="shared" si="13"/>
        <v>0</v>
      </c>
      <c r="J66" s="5">
        <f t="shared" si="14"/>
        <v>0</v>
      </c>
    </row>
    <row r="67" spans="1:10" x14ac:dyDescent="0.3">
      <c r="A67" s="3" t="s">
        <v>66</v>
      </c>
      <c r="B67" s="4"/>
      <c r="C67" s="5">
        <f>0</f>
        <v>0</v>
      </c>
      <c r="D67" s="5">
        <f t="shared" si="10"/>
        <v>0</v>
      </c>
      <c r="E67" s="4"/>
      <c r="F67" s="5">
        <f>0</f>
        <v>0</v>
      </c>
      <c r="G67" s="5">
        <f t="shared" si="11"/>
        <v>0</v>
      </c>
      <c r="H67" s="5">
        <f t="shared" si="12"/>
        <v>0</v>
      </c>
      <c r="I67" s="5">
        <f t="shared" si="13"/>
        <v>0</v>
      </c>
      <c r="J67" s="5">
        <f t="shared" si="14"/>
        <v>0</v>
      </c>
    </row>
    <row r="68" spans="1:10" x14ac:dyDescent="0.3">
      <c r="A68" s="3" t="s">
        <v>67</v>
      </c>
      <c r="B68" s="4"/>
      <c r="C68" s="5">
        <f>0</f>
        <v>0</v>
      </c>
      <c r="D68" s="5">
        <f t="shared" si="10"/>
        <v>0</v>
      </c>
      <c r="E68" s="4"/>
      <c r="F68" s="5">
        <f>0</f>
        <v>0</v>
      </c>
      <c r="G68" s="5">
        <f t="shared" si="11"/>
        <v>0</v>
      </c>
      <c r="H68" s="5">
        <f t="shared" si="12"/>
        <v>0</v>
      </c>
      <c r="I68" s="5">
        <f t="shared" si="13"/>
        <v>0</v>
      </c>
      <c r="J68" s="5">
        <f t="shared" si="14"/>
        <v>0</v>
      </c>
    </row>
    <row r="69" spans="1:10" x14ac:dyDescent="0.3">
      <c r="A69" s="3" t="s">
        <v>68</v>
      </c>
      <c r="B69" s="6">
        <f>(((((((((((((((B53)+(B54))+(B55))+(B56))+(B57))+(B58))+(B59))+(B60))+(B61))+(B62))+(B63))+(B64))+(B65))+(B66))+(B67))+(B68)</f>
        <v>0</v>
      </c>
      <c r="C69" s="6">
        <f>(((((((((((((((C53)+(C54))+(C55))+(C56))+(C57))+(C58))+(C59))+(C60))+(C61))+(C62))+(C63))+(C64))+(C65))+(C66))+(C67))+(C68)</f>
        <v>0</v>
      </c>
      <c r="D69" s="6">
        <f t="shared" si="10"/>
        <v>0</v>
      </c>
      <c r="E69" s="6">
        <f>(((((((((((((((E53)+(E54))+(E55))+(E56))+(E57))+(E58))+(E59))+(E60))+(E61))+(E62))+(E63))+(E64))+(E65))+(E66))+(E67))+(E68)</f>
        <v>0</v>
      </c>
      <c r="F69" s="6">
        <f>(((((((((((((((F53)+(F54))+(F55))+(F56))+(F57))+(F58))+(F59))+(F60))+(F61))+(F62))+(F63))+(F64))+(F65))+(F66))+(F67))+(F68)</f>
        <v>0</v>
      </c>
      <c r="G69" s="6">
        <f t="shared" si="11"/>
        <v>0</v>
      </c>
      <c r="H69" s="6">
        <f t="shared" si="12"/>
        <v>0</v>
      </c>
      <c r="I69" s="6">
        <f t="shared" si="13"/>
        <v>0</v>
      </c>
      <c r="J69" s="6">
        <f t="shared" si="14"/>
        <v>0</v>
      </c>
    </row>
    <row r="70" spans="1:10" x14ac:dyDescent="0.3">
      <c r="A70" s="3" t="s">
        <v>69</v>
      </c>
      <c r="B70" s="4"/>
      <c r="C70" s="4"/>
      <c r="D70" s="5">
        <f t="shared" si="10"/>
        <v>0</v>
      </c>
      <c r="E70" s="4"/>
      <c r="F70" s="4"/>
      <c r="G70" s="5">
        <f t="shared" si="11"/>
        <v>0</v>
      </c>
      <c r="H70" s="5">
        <f t="shared" si="12"/>
        <v>0</v>
      </c>
      <c r="I70" s="5">
        <f t="shared" si="13"/>
        <v>0</v>
      </c>
      <c r="J70" s="5">
        <f t="shared" si="14"/>
        <v>0</v>
      </c>
    </row>
    <row r="71" spans="1:10" x14ac:dyDescent="0.3">
      <c r="A71" s="3" t="s">
        <v>70</v>
      </c>
      <c r="B71" s="5">
        <f>63.98</f>
        <v>63.98</v>
      </c>
      <c r="C71" s="5">
        <f>458.33</f>
        <v>458.33</v>
      </c>
      <c r="D71" s="5">
        <f t="shared" si="10"/>
        <v>-394.34999999999997</v>
      </c>
      <c r="E71" s="5">
        <f>59.98</f>
        <v>59.98</v>
      </c>
      <c r="F71" s="5">
        <f>458.33</f>
        <v>458.33</v>
      </c>
      <c r="G71" s="5">
        <f t="shared" si="11"/>
        <v>-398.34999999999997</v>
      </c>
      <c r="H71" s="5">
        <f t="shared" si="12"/>
        <v>123.96</v>
      </c>
      <c r="I71" s="5">
        <f t="shared" si="13"/>
        <v>916.66</v>
      </c>
      <c r="J71" s="5">
        <f t="shared" si="14"/>
        <v>-792.69999999999993</v>
      </c>
    </row>
    <row r="72" spans="1:10" x14ac:dyDescent="0.3">
      <c r="A72" s="3" t="s">
        <v>71</v>
      </c>
      <c r="B72" s="4"/>
      <c r="C72" s="5">
        <f>0</f>
        <v>0</v>
      </c>
      <c r="D72" s="5">
        <f t="shared" si="10"/>
        <v>0</v>
      </c>
      <c r="E72" s="4"/>
      <c r="F72" s="5">
        <f>0</f>
        <v>0</v>
      </c>
      <c r="G72" s="5">
        <f t="shared" si="11"/>
        <v>0</v>
      </c>
      <c r="H72" s="5">
        <f t="shared" si="12"/>
        <v>0</v>
      </c>
      <c r="I72" s="5">
        <f t="shared" si="13"/>
        <v>0</v>
      </c>
      <c r="J72" s="5">
        <f t="shared" si="14"/>
        <v>0</v>
      </c>
    </row>
    <row r="73" spans="1:10" x14ac:dyDescent="0.3">
      <c r="A73" s="3" t="s">
        <v>72</v>
      </c>
      <c r="B73" s="4"/>
      <c r="C73" s="5">
        <f>1000</f>
        <v>1000</v>
      </c>
      <c r="D73" s="5">
        <f t="shared" si="10"/>
        <v>-1000</v>
      </c>
      <c r="E73" s="4"/>
      <c r="F73" s="5">
        <f>0</f>
        <v>0</v>
      </c>
      <c r="G73" s="5">
        <f t="shared" si="11"/>
        <v>0</v>
      </c>
      <c r="H73" s="5">
        <f t="shared" si="12"/>
        <v>0</v>
      </c>
      <c r="I73" s="5">
        <f t="shared" si="13"/>
        <v>1000</v>
      </c>
      <c r="J73" s="5">
        <f t="shared" si="14"/>
        <v>-1000</v>
      </c>
    </row>
    <row r="74" spans="1:10" x14ac:dyDescent="0.3">
      <c r="A74" s="3" t="s">
        <v>73</v>
      </c>
      <c r="B74" s="4"/>
      <c r="C74" s="5">
        <f>208.33</f>
        <v>208.33</v>
      </c>
      <c r="D74" s="5">
        <f t="shared" si="10"/>
        <v>-208.33</v>
      </c>
      <c r="E74" s="5">
        <f>67.91</f>
        <v>67.91</v>
      </c>
      <c r="F74" s="5">
        <f>208.33</f>
        <v>208.33</v>
      </c>
      <c r="G74" s="5">
        <f t="shared" si="11"/>
        <v>-140.42000000000002</v>
      </c>
      <c r="H74" s="5">
        <f t="shared" si="12"/>
        <v>67.91</v>
      </c>
      <c r="I74" s="5">
        <f t="shared" si="13"/>
        <v>416.66</v>
      </c>
      <c r="J74" s="5">
        <f t="shared" si="14"/>
        <v>-348.75</v>
      </c>
    </row>
    <row r="75" spans="1:10" x14ac:dyDescent="0.3">
      <c r="A75" s="3" t="s">
        <v>74</v>
      </c>
      <c r="B75" s="6">
        <f>((((B70)+(B71))+(B72))+(B73))+(B74)</f>
        <v>63.98</v>
      </c>
      <c r="C75" s="6">
        <f>((((C70)+(C71))+(C72))+(C73))+(C74)</f>
        <v>1666.6599999999999</v>
      </c>
      <c r="D75" s="6">
        <f t="shared" si="10"/>
        <v>-1602.6799999999998</v>
      </c>
      <c r="E75" s="6">
        <f>((((E70)+(E71))+(E72))+(E73))+(E74)</f>
        <v>127.88999999999999</v>
      </c>
      <c r="F75" s="6">
        <f>((((F70)+(F71))+(F72))+(F73))+(F74)</f>
        <v>666.66</v>
      </c>
      <c r="G75" s="6">
        <f t="shared" si="11"/>
        <v>-538.77</v>
      </c>
      <c r="H75" s="6">
        <f t="shared" si="12"/>
        <v>191.86999999999998</v>
      </c>
      <c r="I75" s="6">
        <f t="shared" si="13"/>
        <v>2333.3199999999997</v>
      </c>
      <c r="J75" s="6">
        <f t="shared" si="14"/>
        <v>-2141.4499999999998</v>
      </c>
    </row>
    <row r="76" spans="1:10" x14ac:dyDescent="0.3">
      <c r="A76" s="3" t="s">
        <v>75</v>
      </c>
      <c r="B76" s="4"/>
      <c r="C76" s="4"/>
      <c r="D76" s="5">
        <f t="shared" si="10"/>
        <v>0</v>
      </c>
      <c r="E76" s="4"/>
      <c r="F76" s="4"/>
      <c r="G76" s="5">
        <f t="shared" si="11"/>
        <v>0</v>
      </c>
      <c r="H76" s="5">
        <f t="shared" si="12"/>
        <v>0</v>
      </c>
      <c r="I76" s="5">
        <f t="shared" si="13"/>
        <v>0</v>
      </c>
      <c r="J76" s="5">
        <f t="shared" si="14"/>
        <v>0</v>
      </c>
    </row>
    <row r="77" spans="1:10" x14ac:dyDescent="0.3">
      <c r="A77" s="3" t="s">
        <v>76</v>
      </c>
      <c r="B77" s="4"/>
      <c r="C77" s="5">
        <f>100</f>
        <v>100</v>
      </c>
      <c r="D77" s="5">
        <f t="shared" si="10"/>
        <v>-100</v>
      </c>
      <c r="E77" s="4"/>
      <c r="F77" s="5">
        <f>100</f>
        <v>100</v>
      </c>
      <c r="G77" s="5">
        <f t="shared" si="11"/>
        <v>-100</v>
      </c>
      <c r="H77" s="5">
        <f t="shared" si="12"/>
        <v>0</v>
      </c>
      <c r="I77" s="5">
        <f t="shared" si="13"/>
        <v>200</v>
      </c>
      <c r="J77" s="5">
        <f t="shared" si="14"/>
        <v>-200</v>
      </c>
    </row>
    <row r="78" spans="1:10" x14ac:dyDescent="0.3">
      <c r="A78" s="3" t="s">
        <v>77</v>
      </c>
      <c r="B78" s="5">
        <f>1</f>
        <v>1</v>
      </c>
      <c r="C78" s="5">
        <f>0</f>
        <v>0</v>
      </c>
      <c r="D78" s="5">
        <f t="shared" si="10"/>
        <v>1</v>
      </c>
      <c r="E78" s="4"/>
      <c r="F78" s="5">
        <f>0</f>
        <v>0</v>
      </c>
      <c r="G78" s="5">
        <f t="shared" si="11"/>
        <v>0</v>
      </c>
      <c r="H78" s="5">
        <f t="shared" si="12"/>
        <v>1</v>
      </c>
      <c r="I78" s="5">
        <f t="shared" si="13"/>
        <v>0</v>
      </c>
      <c r="J78" s="5">
        <f t="shared" si="14"/>
        <v>1</v>
      </c>
    </row>
    <row r="79" spans="1:10" x14ac:dyDescent="0.3">
      <c r="A79" s="3" t="s">
        <v>78</v>
      </c>
      <c r="B79" s="4"/>
      <c r="C79" s="5">
        <f>0</f>
        <v>0</v>
      </c>
      <c r="D79" s="5">
        <f t="shared" si="10"/>
        <v>0</v>
      </c>
      <c r="E79" s="4"/>
      <c r="F79" s="5">
        <f>0</f>
        <v>0</v>
      </c>
      <c r="G79" s="5">
        <f t="shared" si="11"/>
        <v>0</v>
      </c>
      <c r="H79" s="5">
        <f t="shared" si="12"/>
        <v>0</v>
      </c>
      <c r="I79" s="5">
        <f t="shared" si="13"/>
        <v>0</v>
      </c>
      <c r="J79" s="5">
        <f t="shared" si="14"/>
        <v>0</v>
      </c>
    </row>
    <row r="80" spans="1:10" x14ac:dyDescent="0.3">
      <c r="A80" s="3" t="s">
        <v>79</v>
      </c>
      <c r="B80" s="6">
        <f>(((B76)+(B77))+(B78))+(B79)</f>
        <v>1</v>
      </c>
      <c r="C80" s="6">
        <f>(((C76)+(C77))+(C78))+(C79)</f>
        <v>100</v>
      </c>
      <c r="D80" s="6">
        <f t="shared" si="10"/>
        <v>-99</v>
      </c>
      <c r="E80" s="6">
        <f>(((E76)+(E77))+(E78))+(E79)</f>
        <v>0</v>
      </c>
      <c r="F80" s="6">
        <f>(((F76)+(F77))+(F78))+(F79)</f>
        <v>100</v>
      </c>
      <c r="G80" s="6">
        <f t="shared" si="11"/>
        <v>-100</v>
      </c>
      <c r="H80" s="6">
        <f t="shared" si="12"/>
        <v>1</v>
      </c>
      <c r="I80" s="6">
        <f t="shared" si="13"/>
        <v>200</v>
      </c>
      <c r="J80" s="6">
        <f t="shared" si="14"/>
        <v>-199</v>
      </c>
    </row>
    <row r="81" spans="1:10" x14ac:dyDescent="0.3">
      <c r="A81" s="3" t="s">
        <v>80</v>
      </c>
      <c r="B81" s="4"/>
      <c r="C81" s="4"/>
      <c r="D81" s="5">
        <f t="shared" si="10"/>
        <v>0</v>
      </c>
      <c r="E81" s="4"/>
      <c r="F81" s="4"/>
      <c r="G81" s="5">
        <f t="shared" si="11"/>
        <v>0</v>
      </c>
      <c r="H81" s="5">
        <f t="shared" si="12"/>
        <v>0</v>
      </c>
      <c r="I81" s="5">
        <f t="shared" si="13"/>
        <v>0</v>
      </c>
      <c r="J81" s="5">
        <f t="shared" si="14"/>
        <v>0</v>
      </c>
    </row>
    <row r="82" spans="1:10" x14ac:dyDescent="0.3">
      <c r="A82" s="3" t="s">
        <v>81</v>
      </c>
      <c r="B82" s="5">
        <f>3360</f>
        <v>3360</v>
      </c>
      <c r="C82" s="5">
        <f>3767.42</f>
        <v>3767.42</v>
      </c>
      <c r="D82" s="5">
        <f t="shared" si="10"/>
        <v>-407.42000000000007</v>
      </c>
      <c r="E82" s="5">
        <f>3595.24</f>
        <v>3595.24</v>
      </c>
      <c r="F82" s="5">
        <f>3767.42</f>
        <v>3767.42</v>
      </c>
      <c r="G82" s="5">
        <f t="shared" si="11"/>
        <v>-172.18000000000029</v>
      </c>
      <c r="H82" s="5">
        <f t="shared" si="12"/>
        <v>6955.24</v>
      </c>
      <c r="I82" s="5">
        <f t="shared" si="13"/>
        <v>7534.84</v>
      </c>
      <c r="J82" s="5">
        <f t="shared" si="14"/>
        <v>-579.60000000000036</v>
      </c>
    </row>
    <row r="83" spans="1:10" x14ac:dyDescent="0.3">
      <c r="A83" s="3" t="s">
        <v>82</v>
      </c>
      <c r="B83" s="5">
        <f>257.04</f>
        <v>257.04000000000002</v>
      </c>
      <c r="C83" s="5">
        <f>288.17</f>
        <v>288.17</v>
      </c>
      <c r="D83" s="5">
        <f t="shared" si="10"/>
        <v>-31.129999999999995</v>
      </c>
      <c r="E83" s="5">
        <f>275.04</f>
        <v>275.04000000000002</v>
      </c>
      <c r="F83" s="5">
        <f>288.17</f>
        <v>288.17</v>
      </c>
      <c r="G83" s="5">
        <f t="shared" si="11"/>
        <v>-13.129999999999995</v>
      </c>
      <c r="H83" s="5">
        <f t="shared" si="12"/>
        <v>532.08000000000004</v>
      </c>
      <c r="I83" s="5">
        <f t="shared" si="13"/>
        <v>576.34</v>
      </c>
      <c r="J83" s="5">
        <f t="shared" si="14"/>
        <v>-44.259999999999991</v>
      </c>
    </row>
    <row r="84" spans="1:10" x14ac:dyDescent="0.3">
      <c r="A84" s="3" t="s">
        <v>83</v>
      </c>
      <c r="B84" s="5">
        <f>97.94</f>
        <v>97.94</v>
      </c>
      <c r="C84" s="5">
        <f>83.33</f>
        <v>83.33</v>
      </c>
      <c r="D84" s="5">
        <f t="shared" si="10"/>
        <v>14.61</v>
      </c>
      <c r="E84" s="5">
        <f>97.94</f>
        <v>97.94</v>
      </c>
      <c r="F84" s="5">
        <f>83.33</f>
        <v>83.33</v>
      </c>
      <c r="G84" s="5">
        <f t="shared" si="11"/>
        <v>14.61</v>
      </c>
      <c r="H84" s="5">
        <f t="shared" si="12"/>
        <v>195.88</v>
      </c>
      <c r="I84" s="5">
        <f t="shared" si="13"/>
        <v>166.66</v>
      </c>
      <c r="J84" s="5">
        <f t="shared" si="14"/>
        <v>29.22</v>
      </c>
    </row>
    <row r="85" spans="1:10" x14ac:dyDescent="0.3">
      <c r="A85" s="3" t="s">
        <v>84</v>
      </c>
      <c r="B85" s="5">
        <f>247.8</f>
        <v>247.8</v>
      </c>
      <c r="C85" s="5">
        <f>258.33</f>
        <v>258.33</v>
      </c>
      <c r="D85" s="5">
        <f t="shared" si="10"/>
        <v>-10.529999999999973</v>
      </c>
      <c r="E85" s="5">
        <f>60.78</f>
        <v>60.78</v>
      </c>
      <c r="F85" s="5">
        <f>258.33</f>
        <v>258.33</v>
      </c>
      <c r="G85" s="5">
        <f t="shared" si="11"/>
        <v>-197.54999999999998</v>
      </c>
      <c r="H85" s="5">
        <f t="shared" si="12"/>
        <v>308.58000000000004</v>
      </c>
      <c r="I85" s="5">
        <f t="shared" si="13"/>
        <v>516.66</v>
      </c>
      <c r="J85" s="5">
        <f t="shared" si="14"/>
        <v>-208.07999999999993</v>
      </c>
    </row>
    <row r="86" spans="1:10" x14ac:dyDescent="0.3">
      <c r="A86" s="3" t="s">
        <v>85</v>
      </c>
      <c r="B86" s="5">
        <f>36.97</f>
        <v>36.97</v>
      </c>
      <c r="C86" s="5">
        <f>116.67</f>
        <v>116.67</v>
      </c>
      <c r="D86" s="5">
        <f t="shared" si="10"/>
        <v>-79.7</v>
      </c>
      <c r="E86" s="5">
        <f>32.33</f>
        <v>32.33</v>
      </c>
      <c r="F86" s="5">
        <f>116.67</f>
        <v>116.67</v>
      </c>
      <c r="G86" s="5">
        <f t="shared" si="11"/>
        <v>-84.34</v>
      </c>
      <c r="H86" s="5">
        <f t="shared" si="12"/>
        <v>69.3</v>
      </c>
      <c r="I86" s="5">
        <f t="shared" si="13"/>
        <v>233.34</v>
      </c>
      <c r="J86" s="5">
        <f t="shared" si="14"/>
        <v>-164.04000000000002</v>
      </c>
    </row>
    <row r="87" spans="1:10" x14ac:dyDescent="0.3">
      <c r="A87" s="3" t="s">
        <v>86</v>
      </c>
      <c r="B87" s="4"/>
      <c r="C87" s="4"/>
      <c r="D87" s="5">
        <f t="shared" si="10"/>
        <v>0</v>
      </c>
      <c r="E87" s="4"/>
      <c r="F87" s="4"/>
      <c r="G87" s="5">
        <f t="shared" si="11"/>
        <v>0</v>
      </c>
      <c r="H87" s="5">
        <f t="shared" si="12"/>
        <v>0</v>
      </c>
      <c r="I87" s="5">
        <f t="shared" si="13"/>
        <v>0</v>
      </c>
      <c r="J87" s="5">
        <f t="shared" si="14"/>
        <v>0</v>
      </c>
    </row>
    <row r="88" spans="1:10" x14ac:dyDescent="0.3">
      <c r="A88" s="3" t="s">
        <v>87</v>
      </c>
      <c r="B88" s="4"/>
      <c r="C88" s="5">
        <f>166.67</f>
        <v>166.67</v>
      </c>
      <c r="D88" s="5">
        <f t="shared" si="10"/>
        <v>-166.67</v>
      </c>
      <c r="E88" s="4"/>
      <c r="F88" s="5">
        <f>166.67</f>
        <v>166.67</v>
      </c>
      <c r="G88" s="5">
        <f t="shared" si="11"/>
        <v>-166.67</v>
      </c>
      <c r="H88" s="5">
        <f t="shared" si="12"/>
        <v>0</v>
      </c>
      <c r="I88" s="5">
        <f t="shared" si="13"/>
        <v>333.34</v>
      </c>
      <c r="J88" s="5">
        <f t="shared" si="14"/>
        <v>-333.34</v>
      </c>
    </row>
    <row r="89" spans="1:10" x14ac:dyDescent="0.3">
      <c r="A89" s="3" t="s">
        <v>88</v>
      </c>
      <c r="B89" s="4"/>
      <c r="C89" s="5">
        <f>166.67</f>
        <v>166.67</v>
      </c>
      <c r="D89" s="5">
        <f t="shared" si="10"/>
        <v>-166.67</v>
      </c>
      <c r="E89" s="4"/>
      <c r="F89" s="5">
        <f>166.67</f>
        <v>166.67</v>
      </c>
      <c r="G89" s="5">
        <f t="shared" si="11"/>
        <v>-166.67</v>
      </c>
      <c r="H89" s="5">
        <f t="shared" si="12"/>
        <v>0</v>
      </c>
      <c r="I89" s="5">
        <f t="shared" si="13"/>
        <v>333.34</v>
      </c>
      <c r="J89" s="5">
        <f t="shared" si="14"/>
        <v>-333.34</v>
      </c>
    </row>
    <row r="90" spans="1:10" x14ac:dyDescent="0.3">
      <c r="A90" s="3" t="s">
        <v>89</v>
      </c>
      <c r="B90" s="4"/>
      <c r="C90" s="5">
        <f>0</f>
        <v>0</v>
      </c>
      <c r="D90" s="5">
        <f t="shared" ref="D90:D121" si="15">(B90)-(C90)</f>
        <v>0</v>
      </c>
      <c r="E90" s="4"/>
      <c r="F90" s="5">
        <f>0</f>
        <v>0</v>
      </c>
      <c r="G90" s="5">
        <f t="shared" ref="G90:G121" si="16">(E90)-(F90)</f>
        <v>0</v>
      </c>
      <c r="H90" s="5">
        <f t="shared" ref="H90:H121" si="17">(B90)+(E90)</f>
        <v>0</v>
      </c>
      <c r="I90" s="5">
        <f t="shared" ref="I90:I121" si="18">(C90)+(F90)</f>
        <v>0</v>
      </c>
      <c r="J90" s="5">
        <f t="shared" ref="J90:J121" si="19">(H90)-(I90)</f>
        <v>0</v>
      </c>
    </row>
    <row r="91" spans="1:10" x14ac:dyDescent="0.3">
      <c r="A91" s="3" t="s">
        <v>90</v>
      </c>
      <c r="B91" s="6">
        <f>(((B87)+(B88))+(B89))+(B90)</f>
        <v>0</v>
      </c>
      <c r="C91" s="6">
        <f>(((C87)+(C88))+(C89))+(C90)</f>
        <v>333.34</v>
      </c>
      <c r="D91" s="6">
        <f t="shared" si="15"/>
        <v>-333.34</v>
      </c>
      <c r="E91" s="6">
        <f>(((E87)+(E88))+(E89))+(E90)</f>
        <v>0</v>
      </c>
      <c r="F91" s="6">
        <f>(((F87)+(F88))+(F89))+(F90)</f>
        <v>333.34</v>
      </c>
      <c r="G91" s="6">
        <f t="shared" si="16"/>
        <v>-333.34</v>
      </c>
      <c r="H91" s="6">
        <f t="shared" si="17"/>
        <v>0</v>
      </c>
      <c r="I91" s="6">
        <f t="shared" si="18"/>
        <v>666.68</v>
      </c>
      <c r="J91" s="6">
        <f t="shared" si="19"/>
        <v>-666.68</v>
      </c>
    </row>
    <row r="92" spans="1:10" x14ac:dyDescent="0.3">
      <c r="A92" s="3" t="s">
        <v>91</v>
      </c>
      <c r="B92" s="5">
        <f>477.17</f>
        <v>477.17</v>
      </c>
      <c r="C92" s="5">
        <f>470.83</f>
        <v>470.83</v>
      </c>
      <c r="D92" s="5">
        <f t="shared" si="15"/>
        <v>6.3400000000000318</v>
      </c>
      <c r="E92" s="5">
        <f>477.52</f>
        <v>477.52</v>
      </c>
      <c r="F92" s="5">
        <f>470.83</f>
        <v>470.83</v>
      </c>
      <c r="G92" s="5">
        <f t="shared" si="16"/>
        <v>6.6899999999999977</v>
      </c>
      <c r="H92" s="5">
        <f t="shared" si="17"/>
        <v>954.69</v>
      </c>
      <c r="I92" s="5">
        <f t="shared" si="18"/>
        <v>941.66</v>
      </c>
      <c r="J92" s="5">
        <f t="shared" si="19"/>
        <v>13.030000000000086</v>
      </c>
    </row>
    <row r="93" spans="1:10" x14ac:dyDescent="0.3">
      <c r="A93" s="3" t="s">
        <v>92</v>
      </c>
      <c r="B93" s="4"/>
      <c r="C93" s="5">
        <f>83.33</f>
        <v>83.33</v>
      </c>
      <c r="D93" s="5">
        <f t="shared" si="15"/>
        <v>-83.33</v>
      </c>
      <c r="E93" s="4"/>
      <c r="F93" s="5">
        <f>83.33</f>
        <v>83.33</v>
      </c>
      <c r="G93" s="5">
        <f t="shared" si="16"/>
        <v>-83.33</v>
      </c>
      <c r="H93" s="5">
        <f t="shared" si="17"/>
        <v>0</v>
      </c>
      <c r="I93" s="5">
        <f t="shared" si="18"/>
        <v>166.66</v>
      </c>
      <c r="J93" s="5">
        <f t="shared" si="19"/>
        <v>-166.66</v>
      </c>
    </row>
    <row r="94" spans="1:10" x14ac:dyDescent="0.3">
      <c r="A94" s="3" t="s">
        <v>93</v>
      </c>
      <c r="B94" s="6">
        <f>((((((((B81)+(B82))+(B83))+(B84))+(B85))+(B86))+(B91))+(B92))+(B93)</f>
        <v>4476.92</v>
      </c>
      <c r="C94" s="6">
        <f>((((((((C81)+(C82))+(C83))+(C84))+(C85))+(C86))+(C91))+(C92))+(C93)</f>
        <v>5401.42</v>
      </c>
      <c r="D94" s="6">
        <f t="shared" si="15"/>
        <v>-924.5</v>
      </c>
      <c r="E94" s="6">
        <f>((((((((E81)+(E82))+(E83))+(E84))+(E85))+(E86))+(E91))+(E92))+(E93)</f>
        <v>4538.8500000000004</v>
      </c>
      <c r="F94" s="6">
        <f>((((((((F81)+(F82))+(F83))+(F84))+(F85))+(F86))+(F91))+(F92))+(F93)</f>
        <v>5401.42</v>
      </c>
      <c r="G94" s="6">
        <f t="shared" si="16"/>
        <v>-862.56999999999971</v>
      </c>
      <c r="H94" s="6">
        <f t="shared" si="17"/>
        <v>9015.77</v>
      </c>
      <c r="I94" s="6">
        <f t="shared" si="18"/>
        <v>10802.84</v>
      </c>
      <c r="J94" s="6">
        <f t="shared" si="19"/>
        <v>-1787.0699999999997</v>
      </c>
    </row>
    <row r="95" spans="1:10" x14ac:dyDescent="0.3">
      <c r="A95" s="3" t="s">
        <v>94</v>
      </c>
      <c r="B95" s="4"/>
      <c r="C95" s="4"/>
      <c r="D95" s="5">
        <f t="shared" si="15"/>
        <v>0</v>
      </c>
      <c r="E95" s="4"/>
      <c r="F95" s="4"/>
      <c r="G95" s="5">
        <f t="shared" si="16"/>
        <v>0</v>
      </c>
      <c r="H95" s="5">
        <f t="shared" si="17"/>
        <v>0</v>
      </c>
      <c r="I95" s="5">
        <f t="shared" si="18"/>
        <v>0</v>
      </c>
      <c r="J95" s="5">
        <f t="shared" si="19"/>
        <v>0</v>
      </c>
    </row>
    <row r="96" spans="1:10" x14ac:dyDescent="0.3">
      <c r="A96" s="3" t="s">
        <v>95</v>
      </c>
      <c r="B96" s="5">
        <f>2354.16</f>
        <v>2354.16</v>
      </c>
      <c r="C96" s="5">
        <f>2550.33</f>
        <v>2550.33</v>
      </c>
      <c r="D96" s="5">
        <f t="shared" si="15"/>
        <v>-196.17000000000007</v>
      </c>
      <c r="E96" s="5">
        <f>1324.16</f>
        <v>1324.16</v>
      </c>
      <c r="F96" s="5">
        <f>2550.33</f>
        <v>2550.33</v>
      </c>
      <c r="G96" s="5">
        <f t="shared" si="16"/>
        <v>-1226.1699999999998</v>
      </c>
      <c r="H96" s="5">
        <f t="shared" si="17"/>
        <v>3678.3199999999997</v>
      </c>
      <c r="I96" s="5">
        <f t="shared" si="18"/>
        <v>5100.66</v>
      </c>
      <c r="J96" s="5">
        <f t="shared" si="19"/>
        <v>-1422.3400000000001</v>
      </c>
    </row>
    <row r="97" spans="1:10" x14ac:dyDescent="0.3">
      <c r="A97" s="3" t="s">
        <v>96</v>
      </c>
      <c r="B97" s="5">
        <f>161.35</f>
        <v>161.35</v>
      </c>
      <c r="C97" s="5">
        <f>195.08</f>
        <v>195.08</v>
      </c>
      <c r="D97" s="5">
        <f t="shared" si="15"/>
        <v>-33.730000000000018</v>
      </c>
      <c r="E97" s="5">
        <f>84.07</f>
        <v>84.07</v>
      </c>
      <c r="F97" s="5">
        <f>195.08</f>
        <v>195.08</v>
      </c>
      <c r="G97" s="5">
        <f t="shared" si="16"/>
        <v>-111.01000000000002</v>
      </c>
      <c r="H97" s="5">
        <f t="shared" si="17"/>
        <v>245.42</v>
      </c>
      <c r="I97" s="5">
        <f t="shared" si="18"/>
        <v>390.16</v>
      </c>
      <c r="J97" s="5">
        <f t="shared" si="19"/>
        <v>-144.74000000000004</v>
      </c>
    </row>
    <row r="98" spans="1:10" x14ac:dyDescent="0.3">
      <c r="A98" s="3" t="s">
        <v>97</v>
      </c>
      <c r="B98" s="5">
        <f>1197.05</f>
        <v>1197.05</v>
      </c>
      <c r="C98" s="5">
        <f>525</f>
        <v>525</v>
      </c>
      <c r="D98" s="5">
        <f t="shared" si="15"/>
        <v>672.05</v>
      </c>
      <c r="E98" s="5">
        <f>-127.81</f>
        <v>-127.81</v>
      </c>
      <c r="F98" s="5">
        <f>525</f>
        <v>525</v>
      </c>
      <c r="G98" s="5">
        <f t="shared" si="16"/>
        <v>-652.80999999999995</v>
      </c>
      <c r="H98" s="5">
        <f t="shared" si="17"/>
        <v>1069.24</v>
      </c>
      <c r="I98" s="5">
        <f t="shared" si="18"/>
        <v>1050</v>
      </c>
      <c r="J98" s="5">
        <f t="shared" si="19"/>
        <v>19.240000000000009</v>
      </c>
    </row>
    <row r="99" spans="1:10" x14ac:dyDescent="0.3">
      <c r="A99" s="3" t="s">
        <v>98</v>
      </c>
      <c r="B99" s="4"/>
      <c r="C99" s="4"/>
      <c r="D99" s="5">
        <f t="shared" si="15"/>
        <v>0</v>
      </c>
      <c r="E99" s="5">
        <f>883.75</f>
        <v>883.75</v>
      </c>
      <c r="F99" s="4"/>
      <c r="G99" s="5">
        <f t="shared" si="16"/>
        <v>883.75</v>
      </c>
      <c r="H99" s="5">
        <f t="shared" si="17"/>
        <v>883.75</v>
      </c>
      <c r="I99" s="5">
        <f t="shared" si="18"/>
        <v>0</v>
      </c>
      <c r="J99" s="5">
        <f t="shared" si="19"/>
        <v>883.75</v>
      </c>
    </row>
    <row r="100" spans="1:10" x14ac:dyDescent="0.3">
      <c r="A100" s="3" t="s">
        <v>99</v>
      </c>
      <c r="B100" s="4"/>
      <c r="C100" s="4"/>
      <c r="D100" s="5">
        <f t="shared" si="15"/>
        <v>0</v>
      </c>
      <c r="E100" s="5">
        <f>67.6</f>
        <v>67.599999999999994</v>
      </c>
      <c r="F100" s="4"/>
      <c r="G100" s="5">
        <f t="shared" si="16"/>
        <v>67.599999999999994</v>
      </c>
      <c r="H100" s="5">
        <f t="shared" si="17"/>
        <v>67.599999999999994</v>
      </c>
      <c r="I100" s="5">
        <f t="shared" si="18"/>
        <v>0</v>
      </c>
      <c r="J100" s="5">
        <f t="shared" si="19"/>
        <v>67.599999999999994</v>
      </c>
    </row>
    <row r="101" spans="1:10" x14ac:dyDescent="0.3">
      <c r="A101" s="3" t="s">
        <v>100</v>
      </c>
      <c r="B101" s="4"/>
      <c r="C101" s="4"/>
      <c r="D101" s="5">
        <f t="shared" si="15"/>
        <v>0</v>
      </c>
      <c r="E101" s="5">
        <f>74.38</f>
        <v>74.38</v>
      </c>
      <c r="F101" s="4"/>
      <c r="G101" s="5">
        <f t="shared" si="16"/>
        <v>74.38</v>
      </c>
      <c r="H101" s="5">
        <f t="shared" si="17"/>
        <v>74.38</v>
      </c>
      <c r="I101" s="5">
        <f t="shared" si="18"/>
        <v>0</v>
      </c>
      <c r="J101" s="5">
        <f t="shared" si="19"/>
        <v>74.38</v>
      </c>
    </row>
    <row r="102" spans="1:10" x14ac:dyDescent="0.3">
      <c r="A102" s="3" t="s">
        <v>101</v>
      </c>
      <c r="B102" s="4"/>
      <c r="C102" s="4"/>
      <c r="D102" s="5">
        <f t="shared" si="15"/>
        <v>0</v>
      </c>
      <c r="E102" s="5">
        <f>5.69</f>
        <v>5.69</v>
      </c>
      <c r="F102" s="4"/>
      <c r="G102" s="5">
        <f t="shared" si="16"/>
        <v>5.69</v>
      </c>
      <c r="H102" s="5">
        <f t="shared" si="17"/>
        <v>5.69</v>
      </c>
      <c r="I102" s="5">
        <f t="shared" si="18"/>
        <v>0</v>
      </c>
      <c r="J102" s="5">
        <f t="shared" si="19"/>
        <v>5.69</v>
      </c>
    </row>
    <row r="103" spans="1:10" x14ac:dyDescent="0.3">
      <c r="A103" s="3" t="s">
        <v>102</v>
      </c>
      <c r="B103" s="4"/>
      <c r="C103" s="4"/>
      <c r="D103" s="5">
        <f t="shared" si="15"/>
        <v>0</v>
      </c>
      <c r="E103" s="4"/>
      <c r="F103" s="4"/>
      <c r="G103" s="5">
        <f t="shared" si="16"/>
        <v>0</v>
      </c>
      <c r="H103" s="5">
        <f t="shared" si="17"/>
        <v>0</v>
      </c>
      <c r="I103" s="5">
        <f t="shared" si="18"/>
        <v>0</v>
      </c>
      <c r="J103" s="5">
        <f t="shared" si="19"/>
        <v>0</v>
      </c>
    </row>
    <row r="104" spans="1:10" x14ac:dyDescent="0.3">
      <c r="A104" s="3" t="s">
        <v>103</v>
      </c>
      <c r="B104" s="5">
        <f>170</f>
        <v>170</v>
      </c>
      <c r="C104" s="5">
        <f>170</f>
        <v>170</v>
      </c>
      <c r="D104" s="5">
        <f t="shared" si="15"/>
        <v>0</v>
      </c>
      <c r="E104" s="5">
        <f>170</f>
        <v>170</v>
      </c>
      <c r="F104" s="5">
        <f>170</f>
        <v>170</v>
      </c>
      <c r="G104" s="5">
        <f t="shared" si="16"/>
        <v>0</v>
      </c>
      <c r="H104" s="5">
        <f t="shared" si="17"/>
        <v>340</v>
      </c>
      <c r="I104" s="5">
        <f t="shared" si="18"/>
        <v>340</v>
      </c>
      <c r="J104" s="5">
        <f t="shared" si="19"/>
        <v>0</v>
      </c>
    </row>
    <row r="105" spans="1:10" x14ac:dyDescent="0.3">
      <c r="A105" s="3" t="s">
        <v>104</v>
      </c>
      <c r="B105" s="4"/>
      <c r="C105" s="5">
        <f>0</f>
        <v>0</v>
      </c>
      <c r="D105" s="5">
        <f t="shared" si="15"/>
        <v>0</v>
      </c>
      <c r="E105" s="5">
        <f>7074</f>
        <v>7074</v>
      </c>
      <c r="F105" s="5">
        <f>7074</f>
        <v>7074</v>
      </c>
      <c r="G105" s="5">
        <f t="shared" si="16"/>
        <v>0</v>
      </c>
      <c r="H105" s="5">
        <f t="shared" si="17"/>
        <v>7074</v>
      </c>
      <c r="I105" s="5">
        <f t="shared" si="18"/>
        <v>7074</v>
      </c>
      <c r="J105" s="5">
        <f t="shared" si="19"/>
        <v>0</v>
      </c>
    </row>
    <row r="106" spans="1:10" x14ac:dyDescent="0.3">
      <c r="A106" s="3" t="s">
        <v>105</v>
      </c>
      <c r="B106" s="5">
        <f>3475</f>
        <v>3475</v>
      </c>
      <c r="C106" s="5">
        <f>3000</f>
        <v>3000</v>
      </c>
      <c r="D106" s="5">
        <f t="shared" si="15"/>
        <v>475</v>
      </c>
      <c r="E106" s="5">
        <f>9525</f>
        <v>9525</v>
      </c>
      <c r="F106" s="5">
        <f>3000</f>
        <v>3000</v>
      </c>
      <c r="G106" s="5">
        <f t="shared" si="16"/>
        <v>6525</v>
      </c>
      <c r="H106" s="5">
        <f t="shared" si="17"/>
        <v>13000</v>
      </c>
      <c r="I106" s="5">
        <f t="shared" si="18"/>
        <v>6000</v>
      </c>
      <c r="J106" s="5">
        <f t="shared" si="19"/>
        <v>7000</v>
      </c>
    </row>
    <row r="107" spans="1:10" x14ac:dyDescent="0.3">
      <c r="A107" s="3" t="s">
        <v>106</v>
      </c>
      <c r="B107" s="5">
        <f>202.09</f>
        <v>202.09</v>
      </c>
      <c r="C107" s="5">
        <f>202</f>
        <v>202</v>
      </c>
      <c r="D107" s="5">
        <f t="shared" si="15"/>
        <v>9.0000000000003411E-2</v>
      </c>
      <c r="E107" s="5">
        <f>202.09</f>
        <v>202.09</v>
      </c>
      <c r="F107" s="5">
        <f>202</f>
        <v>202</v>
      </c>
      <c r="G107" s="5">
        <f t="shared" si="16"/>
        <v>9.0000000000003411E-2</v>
      </c>
      <c r="H107" s="5">
        <f t="shared" si="17"/>
        <v>404.18</v>
      </c>
      <c r="I107" s="5">
        <f t="shared" si="18"/>
        <v>404</v>
      </c>
      <c r="J107" s="5">
        <f t="shared" si="19"/>
        <v>0.18000000000000682</v>
      </c>
    </row>
    <row r="108" spans="1:10" x14ac:dyDescent="0.3">
      <c r="A108" s="3" t="s">
        <v>107</v>
      </c>
      <c r="B108" s="4"/>
      <c r="C108" s="5">
        <f>148.83</f>
        <v>148.83000000000001</v>
      </c>
      <c r="D108" s="5">
        <f t="shared" si="15"/>
        <v>-148.83000000000001</v>
      </c>
      <c r="E108" s="5">
        <f>239.32</f>
        <v>239.32</v>
      </c>
      <c r="F108" s="5">
        <f>148.83</f>
        <v>148.83000000000001</v>
      </c>
      <c r="G108" s="5">
        <f t="shared" si="16"/>
        <v>90.489999999999981</v>
      </c>
      <c r="H108" s="5">
        <f t="shared" si="17"/>
        <v>239.32</v>
      </c>
      <c r="I108" s="5">
        <f t="shared" si="18"/>
        <v>297.66000000000003</v>
      </c>
      <c r="J108" s="5">
        <f t="shared" si="19"/>
        <v>-58.340000000000032</v>
      </c>
    </row>
    <row r="109" spans="1:10" x14ac:dyDescent="0.3">
      <c r="A109" s="3" t="s">
        <v>108</v>
      </c>
      <c r="B109" s="6">
        <f>(((((B103)+(B104))+(B105))+(B106))+(B107))+(B108)</f>
        <v>3847.09</v>
      </c>
      <c r="C109" s="6">
        <f>(((((C103)+(C104))+(C105))+(C106))+(C107))+(C108)</f>
        <v>3520.83</v>
      </c>
      <c r="D109" s="6">
        <f t="shared" si="15"/>
        <v>326.26000000000022</v>
      </c>
      <c r="E109" s="6">
        <f>(((((E103)+(E104))+(E105))+(E106))+(E107))+(E108)</f>
        <v>17210.41</v>
      </c>
      <c r="F109" s="6">
        <f>(((((F103)+(F104))+(F105))+(F106))+(F107))+(F108)</f>
        <v>10594.83</v>
      </c>
      <c r="G109" s="6">
        <f t="shared" si="16"/>
        <v>6615.58</v>
      </c>
      <c r="H109" s="6">
        <f t="shared" si="17"/>
        <v>21057.5</v>
      </c>
      <c r="I109" s="6">
        <f t="shared" si="18"/>
        <v>14115.66</v>
      </c>
      <c r="J109" s="6">
        <f t="shared" si="19"/>
        <v>6941.84</v>
      </c>
    </row>
    <row r="110" spans="1:10" x14ac:dyDescent="0.3">
      <c r="A110" s="3" t="s">
        <v>109</v>
      </c>
      <c r="B110" s="4"/>
      <c r="C110" s="4"/>
      <c r="D110" s="5">
        <f t="shared" si="15"/>
        <v>0</v>
      </c>
      <c r="E110" s="4"/>
      <c r="F110" s="4"/>
      <c r="G110" s="5">
        <f t="shared" si="16"/>
        <v>0</v>
      </c>
      <c r="H110" s="5">
        <f t="shared" si="17"/>
        <v>0</v>
      </c>
      <c r="I110" s="5">
        <f t="shared" si="18"/>
        <v>0</v>
      </c>
      <c r="J110" s="5">
        <f t="shared" si="19"/>
        <v>0</v>
      </c>
    </row>
    <row r="111" spans="1:10" x14ac:dyDescent="0.3">
      <c r="A111" s="3" t="s">
        <v>110</v>
      </c>
      <c r="B111" s="5">
        <f>3540.59</f>
        <v>3540.59</v>
      </c>
      <c r="C111" s="5">
        <f>1833.33</f>
        <v>1833.33</v>
      </c>
      <c r="D111" s="5">
        <f t="shared" si="15"/>
        <v>1707.2600000000002</v>
      </c>
      <c r="E111" s="5">
        <f>4027.7</f>
        <v>4027.7</v>
      </c>
      <c r="F111" s="5">
        <f>1833.33</f>
        <v>1833.33</v>
      </c>
      <c r="G111" s="5">
        <f t="shared" si="16"/>
        <v>2194.37</v>
      </c>
      <c r="H111" s="5">
        <f t="shared" si="17"/>
        <v>7568.29</v>
      </c>
      <c r="I111" s="5">
        <f t="shared" si="18"/>
        <v>3666.66</v>
      </c>
      <c r="J111" s="5">
        <f t="shared" si="19"/>
        <v>3901.63</v>
      </c>
    </row>
    <row r="112" spans="1:10" x14ac:dyDescent="0.3">
      <c r="A112" s="3" t="s">
        <v>111</v>
      </c>
      <c r="B112" s="5">
        <f>284.39</f>
        <v>284.39</v>
      </c>
      <c r="C112" s="5">
        <f>416.67</f>
        <v>416.67</v>
      </c>
      <c r="D112" s="5">
        <f t="shared" si="15"/>
        <v>-132.28000000000003</v>
      </c>
      <c r="E112" s="5">
        <f>319.9</f>
        <v>319.89999999999998</v>
      </c>
      <c r="F112" s="5">
        <f>416.67</f>
        <v>416.67</v>
      </c>
      <c r="G112" s="5">
        <f t="shared" si="16"/>
        <v>-96.770000000000039</v>
      </c>
      <c r="H112" s="5">
        <f t="shared" si="17"/>
        <v>604.29</v>
      </c>
      <c r="I112" s="5">
        <f t="shared" si="18"/>
        <v>833.34</v>
      </c>
      <c r="J112" s="5">
        <f t="shared" si="19"/>
        <v>-229.05000000000007</v>
      </c>
    </row>
    <row r="113" spans="1:10" x14ac:dyDescent="0.3">
      <c r="A113" s="3" t="s">
        <v>112</v>
      </c>
      <c r="B113" s="6">
        <f>((B110)+(B111))+(B112)</f>
        <v>3824.98</v>
      </c>
      <c r="C113" s="6">
        <f>((C110)+(C111))+(C112)</f>
        <v>2250</v>
      </c>
      <c r="D113" s="6">
        <f t="shared" si="15"/>
        <v>1574.98</v>
      </c>
      <c r="E113" s="6">
        <f>((E110)+(E111))+(E112)</f>
        <v>4347.5999999999995</v>
      </c>
      <c r="F113" s="6">
        <f>((F110)+(F111))+(F112)</f>
        <v>2250</v>
      </c>
      <c r="G113" s="6">
        <f t="shared" si="16"/>
        <v>2097.5999999999995</v>
      </c>
      <c r="H113" s="6">
        <f t="shared" si="17"/>
        <v>8172.58</v>
      </c>
      <c r="I113" s="6">
        <f t="shared" si="18"/>
        <v>4500</v>
      </c>
      <c r="J113" s="6">
        <f t="shared" si="19"/>
        <v>3672.58</v>
      </c>
    </row>
    <row r="114" spans="1:10" x14ac:dyDescent="0.3">
      <c r="A114" s="3" t="s">
        <v>113</v>
      </c>
      <c r="B114" s="4"/>
      <c r="C114" s="5">
        <f>1250</f>
        <v>1250</v>
      </c>
      <c r="D114" s="5">
        <f t="shared" si="15"/>
        <v>-1250</v>
      </c>
      <c r="E114" s="5">
        <f>37.36</f>
        <v>37.36</v>
      </c>
      <c r="F114" s="5">
        <f>1250</f>
        <v>1250</v>
      </c>
      <c r="G114" s="5">
        <f t="shared" si="16"/>
        <v>-1212.6400000000001</v>
      </c>
      <c r="H114" s="5">
        <f t="shared" si="17"/>
        <v>37.36</v>
      </c>
      <c r="I114" s="5">
        <f t="shared" si="18"/>
        <v>2500</v>
      </c>
      <c r="J114" s="5">
        <f t="shared" si="19"/>
        <v>-2462.64</v>
      </c>
    </row>
    <row r="115" spans="1:10" x14ac:dyDescent="0.3">
      <c r="A115" s="3" t="s">
        <v>114</v>
      </c>
      <c r="B115" s="5">
        <f>475.16</f>
        <v>475.16</v>
      </c>
      <c r="C115" s="5">
        <f>375</f>
        <v>375</v>
      </c>
      <c r="D115" s="5">
        <f t="shared" si="15"/>
        <v>100.16000000000003</v>
      </c>
      <c r="E115" s="5">
        <f>448.27</f>
        <v>448.27</v>
      </c>
      <c r="F115" s="5">
        <f>375</f>
        <v>375</v>
      </c>
      <c r="G115" s="5">
        <f t="shared" si="16"/>
        <v>73.269999999999982</v>
      </c>
      <c r="H115" s="5">
        <f t="shared" si="17"/>
        <v>923.43000000000006</v>
      </c>
      <c r="I115" s="5">
        <f t="shared" si="18"/>
        <v>750</v>
      </c>
      <c r="J115" s="5">
        <f t="shared" si="19"/>
        <v>173.43000000000006</v>
      </c>
    </row>
    <row r="116" spans="1:10" x14ac:dyDescent="0.3">
      <c r="A116" s="3" t="s">
        <v>115</v>
      </c>
      <c r="B116" s="6">
        <f>(((((((((((B95)+(B96))+(B97))+(B98))+(B99))+(B100))+(B101))+(B102))+(B109))+(B113))+(B114))+(B115)</f>
        <v>11859.789999999999</v>
      </c>
      <c r="C116" s="6">
        <f>(((((((((((C95)+(C96))+(C97))+(C98))+(C99))+(C100))+(C101))+(C102))+(C109))+(C113))+(C114))+(C115)</f>
        <v>10666.24</v>
      </c>
      <c r="D116" s="6">
        <f t="shared" si="15"/>
        <v>1193.5499999999993</v>
      </c>
      <c r="E116" s="6">
        <f>(((((((((((E95)+(E96))+(E97))+(E98))+(E99))+(E100))+(E101))+(E102))+(E109))+(E113))+(E114))+(E115)</f>
        <v>24355.48</v>
      </c>
      <c r="F116" s="6">
        <f>(((((((((((F95)+(F96))+(F97))+(F98))+(F99))+(F100))+(F101))+(F102))+(F109))+(F113))+(F114))+(F115)</f>
        <v>17740.239999999998</v>
      </c>
      <c r="G116" s="6">
        <f t="shared" si="16"/>
        <v>6615.2400000000016</v>
      </c>
      <c r="H116" s="6">
        <f t="shared" si="17"/>
        <v>36215.269999999997</v>
      </c>
      <c r="I116" s="6">
        <f t="shared" si="18"/>
        <v>28406.479999999996</v>
      </c>
      <c r="J116" s="6">
        <f t="shared" si="19"/>
        <v>7808.7900000000009</v>
      </c>
    </row>
    <row r="117" spans="1:10" x14ac:dyDescent="0.3">
      <c r="A117" s="3" t="s">
        <v>116</v>
      </c>
      <c r="B117" s="4"/>
      <c r="C117" s="4"/>
      <c r="D117" s="5">
        <f t="shared" si="15"/>
        <v>0</v>
      </c>
      <c r="E117" s="4"/>
      <c r="F117" s="4"/>
      <c r="G117" s="5">
        <f t="shared" si="16"/>
        <v>0</v>
      </c>
      <c r="H117" s="5">
        <f t="shared" si="17"/>
        <v>0</v>
      </c>
      <c r="I117" s="5">
        <f t="shared" si="18"/>
        <v>0</v>
      </c>
      <c r="J117" s="5">
        <f t="shared" si="19"/>
        <v>0</v>
      </c>
    </row>
    <row r="118" spans="1:10" x14ac:dyDescent="0.3">
      <c r="A118" s="3" t="s">
        <v>117</v>
      </c>
      <c r="B118" s="5">
        <f>829.86</f>
        <v>829.86</v>
      </c>
      <c r="C118" s="5">
        <f>812</f>
        <v>812</v>
      </c>
      <c r="D118" s="5">
        <f t="shared" si="15"/>
        <v>17.860000000000014</v>
      </c>
      <c r="E118" s="5">
        <f>826.65</f>
        <v>826.65</v>
      </c>
      <c r="F118" s="5">
        <f>812</f>
        <v>812</v>
      </c>
      <c r="G118" s="5">
        <f t="shared" si="16"/>
        <v>14.649999999999977</v>
      </c>
      <c r="H118" s="5">
        <f t="shared" si="17"/>
        <v>1656.51</v>
      </c>
      <c r="I118" s="5">
        <f t="shared" si="18"/>
        <v>1624</v>
      </c>
      <c r="J118" s="5">
        <f t="shared" si="19"/>
        <v>32.509999999999991</v>
      </c>
    </row>
    <row r="119" spans="1:10" x14ac:dyDescent="0.3">
      <c r="A119" s="3" t="s">
        <v>118</v>
      </c>
      <c r="B119" s="4"/>
      <c r="C119" s="5">
        <f>0</f>
        <v>0</v>
      </c>
      <c r="D119" s="5">
        <f t="shared" si="15"/>
        <v>0</v>
      </c>
      <c r="E119" s="4"/>
      <c r="F119" s="5">
        <f>0</f>
        <v>0</v>
      </c>
      <c r="G119" s="5">
        <f t="shared" si="16"/>
        <v>0</v>
      </c>
      <c r="H119" s="5">
        <f t="shared" si="17"/>
        <v>0</v>
      </c>
      <c r="I119" s="5">
        <f t="shared" si="18"/>
        <v>0</v>
      </c>
      <c r="J119" s="5">
        <f t="shared" si="19"/>
        <v>0</v>
      </c>
    </row>
    <row r="120" spans="1:10" x14ac:dyDescent="0.3">
      <c r="A120" s="3" t="s">
        <v>119</v>
      </c>
      <c r="B120" s="5">
        <f>165</f>
        <v>165</v>
      </c>
      <c r="C120" s="5">
        <f>233.33</f>
        <v>233.33</v>
      </c>
      <c r="D120" s="5">
        <f t="shared" si="15"/>
        <v>-68.330000000000013</v>
      </c>
      <c r="E120" s="5">
        <f>642.5</f>
        <v>642.5</v>
      </c>
      <c r="F120" s="5">
        <f>233.33</f>
        <v>233.33</v>
      </c>
      <c r="G120" s="5">
        <f t="shared" si="16"/>
        <v>409.16999999999996</v>
      </c>
      <c r="H120" s="5">
        <f t="shared" si="17"/>
        <v>807.5</v>
      </c>
      <c r="I120" s="5">
        <f t="shared" si="18"/>
        <v>466.66</v>
      </c>
      <c r="J120" s="5">
        <f t="shared" si="19"/>
        <v>340.84</v>
      </c>
    </row>
    <row r="121" spans="1:10" x14ac:dyDescent="0.3">
      <c r="A121" s="3" t="s">
        <v>120</v>
      </c>
      <c r="B121" s="6">
        <f>(((B117)+(B118))+(B119))+(B120)</f>
        <v>994.86</v>
      </c>
      <c r="C121" s="6">
        <f>(((C117)+(C118))+(C119))+(C120)</f>
        <v>1045.33</v>
      </c>
      <c r="D121" s="6">
        <f t="shared" si="15"/>
        <v>-50.469999999999914</v>
      </c>
      <c r="E121" s="6">
        <f>(((E117)+(E118))+(E119))+(E120)</f>
        <v>1469.15</v>
      </c>
      <c r="F121" s="6">
        <f>(((F117)+(F118))+(F119))+(F120)</f>
        <v>1045.33</v>
      </c>
      <c r="G121" s="6">
        <f t="shared" si="16"/>
        <v>423.82000000000016</v>
      </c>
      <c r="H121" s="6">
        <f t="shared" si="17"/>
        <v>2464.0100000000002</v>
      </c>
      <c r="I121" s="6">
        <f t="shared" si="18"/>
        <v>2090.66</v>
      </c>
      <c r="J121" s="6">
        <f t="shared" si="19"/>
        <v>373.35000000000036</v>
      </c>
    </row>
    <row r="122" spans="1:10" x14ac:dyDescent="0.3">
      <c r="A122" s="3" t="s">
        <v>121</v>
      </c>
      <c r="B122" s="4"/>
      <c r="C122" s="4"/>
      <c r="D122" s="5">
        <f t="shared" ref="D122:D153" si="20">(B122)-(C122)</f>
        <v>0</v>
      </c>
      <c r="E122" s="4"/>
      <c r="F122" s="4"/>
      <c r="G122" s="5">
        <f t="shared" ref="G122:G153" si="21">(E122)-(F122)</f>
        <v>0</v>
      </c>
      <c r="H122" s="5">
        <f t="shared" ref="H122:H128" si="22">(B122)+(E122)</f>
        <v>0</v>
      </c>
      <c r="I122" s="5">
        <f t="shared" ref="I122:I128" si="23">(C122)+(F122)</f>
        <v>0</v>
      </c>
      <c r="J122" s="5">
        <f t="shared" ref="J122:J153" si="24">(H122)-(I122)</f>
        <v>0</v>
      </c>
    </row>
    <row r="123" spans="1:10" x14ac:dyDescent="0.3">
      <c r="A123" s="3" t="s">
        <v>122</v>
      </c>
      <c r="B123" s="4"/>
      <c r="C123" s="5">
        <f>20.83</f>
        <v>20.83</v>
      </c>
      <c r="D123" s="5">
        <f t="shared" si="20"/>
        <v>-20.83</v>
      </c>
      <c r="E123" s="4"/>
      <c r="F123" s="5">
        <f>20.83</f>
        <v>20.83</v>
      </c>
      <c r="G123" s="5">
        <f t="shared" si="21"/>
        <v>-20.83</v>
      </c>
      <c r="H123" s="5">
        <f t="shared" si="22"/>
        <v>0</v>
      </c>
      <c r="I123" s="5">
        <f t="shared" si="23"/>
        <v>41.66</v>
      </c>
      <c r="J123" s="5">
        <f t="shared" si="24"/>
        <v>-41.66</v>
      </c>
    </row>
    <row r="124" spans="1:10" x14ac:dyDescent="0.3">
      <c r="A124" s="3" t="s">
        <v>123</v>
      </c>
      <c r="B124" s="5">
        <f>229.24</f>
        <v>229.24</v>
      </c>
      <c r="C124" s="5">
        <f>225</f>
        <v>225</v>
      </c>
      <c r="D124" s="5">
        <f t="shared" si="20"/>
        <v>4.2400000000000091</v>
      </c>
      <c r="E124" s="5">
        <f>496.82</f>
        <v>496.82</v>
      </c>
      <c r="F124" s="5">
        <f>225</f>
        <v>225</v>
      </c>
      <c r="G124" s="5">
        <f t="shared" si="21"/>
        <v>271.82</v>
      </c>
      <c r="H124" s="5">
        <f t="shared" si="22"/>
        <v>726.06</v>
      </c>
      <c r="I124" s="5">
        <f t="shared" si="23"/>
        <v>450</v>
      </c>
      <c r="J124" s="5">
        <f t="shared" si="24"/>
        <v>276.05999999999995</v>
      </c>
    </row>
    <row r="125" spans="1:10" x14ac:dyDescent="0.3">
      <c r="A125" s="3" t="s">
        <v>124</v>
      </c>
      <c r="B125" s="6">
        <f>((B122)+(B123))+(B124)</f>
        <v>229.24</v>
      </c>
      <c r="C125" s="6">
        <f>((C122)+(C123))+(C124)</f>
        <v>245.82999999999998</v>
      </c>
      <c r="D125" s="6">
        <f t="shared" si="20"/>
        <v>-16.589999999999975</v>
      </c>
      <c r="E125" s="6">
        <f>((E122)+(E123))+(E124)</f>
        <v>496.82</v>
      </c>
      <c r="F125" s="6">
        <f>((F122)+(F123))+(F124)</f>
        <v>245.82999999999998</v>
      </c>
      <c r="G125" s="6">
        <f t="shared" si="21"/>
        <v>250.99</v>
      </c>
      <c r="H125" s="6">
        <f t="shared" si="22"/>
        <v>726.06</v>
      </c>
      <c r="I125" s="6">
        <f t="shared" si="23"/>
        <v>491.65999999999997</v>
      </c>
      <c r="J125" s="6">
        <f t="shared" si="24"/>
        <v>234.39999999999998</v>
      </c>
    </row>
    <row r="126" spans="1:10" x14ac:dyDescent="0.3">
      <c r="A126" s="3" t="s">
        <v>125</v>
      </c>
      <c r="B126" s="6">
        <f>(((((((((B34)+(B44))+(B52))+(B69))+(B75))+(B80))+(B94))+(B116))+(B121))+(B125)</f>
        <v>37271.06</v>
      </c>
      <c r="C126" s="6">
        <f>(((((((((C34)+(C44))+(C52))+(C69))+(C75))+(C80))+(C94))+(C116))+(C121))+(C125)</f>
        <v>40434.9</v>
      </c>
      <c r="D126" s="6">
        <f t="shared" si="20"/>
        <v>-3163.8400000000038</v>
      </c>
      <c r="E126" s="6">
        <f>(((((((((E34)+(E44))+(E52))+(E69))+(E75))+(E80))+(E94))+(E116))+(E121))+(E125)</f>
        <v>56571.210000000006</v>
      </c>
      <c r="F126" s="6">
        <f>(((((((((F34)+(F44))+(F52))+(F69))+(F75))+(F80))+(F94))+(F116))+(F121))+(F125)</f>
        <v>51258.9</v>
      </c>
      <c r="G126" s="6">
        <f t="shared" si="21"/>
        <v>5312.3100000000049</v>
      </c>
      <c r="H126" s="6">
        <f t="shared" si="22"/>
        <v>93842.27</v>
      </c>
      <c r="I126" s="6">
        <f t="shared" si="23"/>
        <v>91693.8</v>
      </c>
      <c r="J126" s="6">
        <f t="shared" si="24"/>
        <v>2148.4700000000012</v>
      </c>
    </row>
    <row r="127" spans="1:10" x14ac:dyDescent="0.3">
      <c r="A127" s="3" t="s">
        <v>126</v>
      </c>
      <c r="B127" s="6">
        <f>(B24)-(B126)</f>
        <v>13799.730000000003</v>
      </c>
      <c r="C127" s="6">
        <f>(C24)-(C126)</f>
        <v>4630.18</v>
      </c>
      <c r="D127" s="6">
        <f t="shared" si="20"/>
        <v>9169.5500000000029</v>
      </c>
      <c r="E127" s="6">
        <f>(E24)-(E126)</f>
        <v>-2019.9700000000084</v>
      </c>
      <c r="F127" s="6">
        <f>(F24)-(F126)</f>
        <v>-6193.82</v>
      </c>
      <c r="G127" s="6">
        <f t="shared" si="21"/>
        <v>4173.8499999999913</v>
      </c>
      <c r="H127" s="6">
        <f t="shared" si="22"/>
        <v>11779.759999999995</v>
      </c>
      <c r="I127" s="6">
        <f t="shared" si="23"/>
        <v>-1563.6399999999994</v>
      </c>
      <c r="J127" s="6">
        <f t="shared" si="24"/>
        <v>13343.399999999994</v>
      </c>
    </row>
    <row r="128" spans="1:10" x14ac:dyDescent="0.3">
      <c r="A128" s="3" t="s">
        <v>127</v>
      </c>
      <c r="B128" s="7">
        <f>(B127)+(0)</f>
        <v>13799.730000000003</v>
      </c>
      <c r="C128" s="7">
        <f>(C127)+(0)</f>
        <v>4630.18</v>
      </c>
      <c r="D128" s="7">
        <f t="shared" si="20"/>
        <v>9169.5500000000029</v>
      </c>
      <c r="E128" s="7">
        <f>(E127)+(0)</f>
        <v>-2019.9700000000084</v>
      </c>
      <c r="F128" s="7">
        <f>(F127)+(0)</f>
        <v>-6193.82</v>
      </c>
      <c r="G128" s="7">
        <f t="shared" si="21"/>
        <v>4173.8499999999913</v>
      </c>
      <c r="H128" s="7">
        <f t="shared" si="22"/>
        <v>11779.759999999995</v>
      </c>
      <c r="I128" s="7">
        <f t="shared" si="23"/>
        <v>-1563.6399999999994</v>
      </c>
      <c r="J128" s="7">
        <f t="shared" si="24"/>
        <v>13343.399999999994</v>
      </c>
    </row>
    <row r="129" spans="1:10" x14ac:dyDescent="0.3">
      <c r="A129" s="3"/>
      <c r="B129" s="4"/>
      <c r="C129" s="4"/>
      <c r="D129" s="4"/>
      <c r="E129" s="4"/>
      <c r="F129" s="4"/>
      <c r="G129" s="4"/>
      <c r="H129" s="4"/>
      <c r="I129" s="4"/>
      <c r="J129" s="4"/>
    </row>
    <row r="132" spans="1:10" x14ac:dyDescent="0.3">
      <c r="A132" s="10" t="s">
        <v>128</v>
      </c>
      <c r="B132" s="11"/>
      <c r="C132" s="11"/>
      <c r="D132" s="11"/>
      <c r="E132" s="11"/>
      <c r="F132" s="11"/>
      <c r="G132" s="11"/>
      <c r="H132" s="11"/>
      <c r="I132" s="11"/>
      <c r="J132" s="11"/>
    </row>
  </sheetData>
  <mergeCells count="7">
    <mergeCell ref="B5:D5"/>
    <mergeCell ref="E5:G5"/>
    <mergeCell ref="H5:J5"/>
    <mergeCell ref="A132:J132"/>
    <mergeCell ref="A1:J1"/>
    <mergeCell ref="A2:J2"/>
    <mergeCell ref="A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vs. Actuals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Joyce Jonat</cp:lastModifiedBy>
  <dcterms:created xsi:type="dcterms:W3CDTF">2025-03-07T22:17:25Z</dcterms:created>
  <dcterms:modified xsi:type="dcterms:W3CDTF">2025-03-07T22:18:58Z</dcterms:modified>
</cp:coreProperties>
</file>